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05" windowWidth="12735" windowHeight="10170" tabRatio="269" activeTab="3"/>
  </bookViews>
  <sheets>
    <sheet name="Ф1" sheetId="1" r:id="rId1"/>
    <sheet name="Ф3" sheetId="2" r:id="rId2"/>
    <sheet name="Ф2" sheetId="3" r:id="rId3"/>
    <sheet name="общий" sheetId="4" r:id="rId4"/>
    <sheet name="Спец" sheetId="5" r:id="rId5"/>
  </sheets>
  <definedNames>
    <definedName name="Z_0531FE1E_4C09_41F7_B7A4_E55C85FBA240_.wvu.PrintArea" localSheetId="3" hidden="1">'общий'!$A$1:$EJ$31</definedName>
    <definedName name="Z_0531FE1E_4C09_41F7_B7A4_E55C85FBA240_.wvu.PrintTitles" localSheetId="3" hidden="1">'общий'!$B:$B</definedName>
    <definedName name="Z_06893471_5AF6_469A_8AF6_121272D86933_.wvu.Cols" localSheetId="4" hidden="1">'Спец'!#REF!,'Спец'!#REF!,'Спец'!$R:$T,'Спец'!$AM:$AO</definedName>
    <definedName name="Z_06893471_5AF6_469A_8AF6_121272D86933_.wvu.Cols" localSheetId="0" hidden="1">'Ф1'!$AQ:$AT</definedName>
    <definedName name="Z_06893471_5AF6_469A_8AF6_121272D86933_.wvu.Cols" localSheetId="1" hidden="1">'Ф3'!$AE:$AP,'Ф3'!$AU:$AX,'Ф3'!$AZ:$BH,'Ф3'!$BM:$BO</definedName>
    <definedName name="Z_0763CA5D_78D0_4F5F_8F09_8E3F3350624F_.wvu.Cols" localSheetId="3" hidden="1">'общий'!#REF!,'общий'!#REF!,'общий'!#REF!</definedName>
    <definedName name="Z_0763CA5D_78D0_4F5F_8F09_8E3F3350624F_.wvu.Cols" localSheetId="4" hidden="1">'Спец'!#REF!,'Спец'!$R:$T</definedName>
    <definedName name="Z_0763CA5D_78D0_4F5F_8F09_8E3F3350624F_.wvu.PrintArea" localSheetId="3" hidden="1">'общий'!$A$1:$CQ$30</definedName>
    <definedName name="Z_0763CA5D_78D0_4F5F_8F09_8E3F3350624F_.wvu.PrintArea" localSheetId="4" hidden="1">'Спец'!$A$1:$BM$28</definedName>
    <definedName name="Z_0763CA5D_78D0_4F5F_8F09_8E3F3350624F_.wvu.PrintArea" localSheetId="0" hidden="1">'Ф1'!$A$1:$CM$27</definedName>
    <definedName name="Z_36163640_9384_4552_B38C_7EF850119E91_.wvu.Cols" localSheetId="3" hidden="1">'общий'!#REF!</definedName>
    <definedName name="Z_36D76C02_505F_4F53_96AC_F81F72A907B0_.wvu.Cols" localSheetId="4" hidden="1">'Спец'!#REF!,'Спец'!#REF!,'Спец'!$R:$T,'Спец'!$AG:$AI,'Спец'!$AM:$AO,'Спец'!$AW:$AX</definedName>
    <definedName name="Z_597059FB_A457_4BF7_AB14_AF592B2276EC_.wvu.PrintArea" localSheetId="3" hidden="1">'общий'!$A$1:$EJ$32</definedName>
    <definedName name="Z_597059FB_A457_4BF7_AB14_AF592B2276EC_.wvu.PrintTitles" localSheetId="3" hidden="1">'общий'!$A:$B</definedName>
    <definedName name="Z_60CE1977_D415_4296_B1CA_BF069CCC4ACC_.wvu.Cols" localSheetId="3" hidden="1">'общий'!#REF!,'общий'!#REF!</definedName>
    <definedName name="Z_60CE1977_D415_4296_B1CA_BF069CCC4ACC_.wvu.PrintArea" localSheetId="3" hidden="1">'общий'!$A$1:$EG$30</definedName>
    <definedName name="Z_60CE1977_D415_4296_B1CA_BF069CCC4ACC_.wvu.PrintArea" localSheetId="4" hidden="1">'Спец'!$A$1:$BM$28</definedName>
    <definedName name="Z_60CE1977_D415_4296_B1CA_BF069CCC4ACC_.wvu.PrintArea" localSheetId="0" hidden="1">'Ф1'!$A$1:$CM$27</definedName>
    <definedName name="Z_707CCB1A_35E9_4A48_9DBF_C0BAF40D1ABC_.wvu.Cols" localSheetId="3" hidden="1">'общий'!#REF!,'общий'!#REF!,'общий'!#REF!</definedName>
    <definedName name="Z_707CCB1A_35E9_4A48_9DBF_C0BAF40D1ABC_.wvu.Cols" localSheetId="4" hidden="1">'Спец'!#REF!,'Спец'!$R:$T</definedName>
    <definedName name="Z_707CCB1A_35E9_4A48_9DBF_C0BAF40D1ABC_.wvu.PrintArea" localSheetId="3" hidden="1">'общий'!$A$1:$CQ$30</definedName>
    <definedName name="Z_707CCB1A_35E9_4A48_9DBF_C0BAF40D1ABC_.wvu.PrintArea" localSheetId="4" hidden="1">'Спец'!$A$1:$BM$28</definedName>
    <definedName name="Z_707CCB1A_35E9_4A48_9DBF_C0BAF40D1ABC_.wvu.PrintArea" localSheetId="0" hidden="1">'Ф1'!$A$1:$CM$27</definedName>
    <definedName name="Z_71E245FC_1AC9_41C8_ABD1_96F2C65955C4_.wvu.PrintArea" localSheetId="3" hidden="1">'общий'!$A$1:$EJ$32</definedName>
    <definedName name="Z_79B4855C_F47E_4E4F_8180_9392FF0826E2_.wvu.PrintArea" localSheetId="3" hidden="1">'общий'!$A$1:$EJ$29</definedName>
    <definedName name="Z_79B4855C_F47E_4E4F_8180_9392FF0826E2_.wvu.PrintArea" localSheetId="1" hidden="1">'Ф3'!$A$1:$CO$27</definedName>
    <definedName name="Z_A3D306C4_F4E9_4E6D_9D8A_49728588E31E_.wvu.Cols" localSheetId="3" hidden="1">'общий'!#REF!,'общий'!#REF!,'общий'!#REF!</definedName>
    <definedName name="Z_A3D306C4_F4E9_4E6D_9D8A_49728588E31E_.wvu.Cols" localSheetId="4" hidden="1">'Спец'!$R:$T</definedName>
    <definedName name="Z_A3D306C4_F4E9_4E6D_9D8A_49728588E31E_.wvu.PrintArea" localSheetId="3" hidden="1">'общий'!$A$1:$EG$30</definedName>
    <definedName name="Z_A3D306C4_F4E9_4E6D_9D8A_49728588E31E_.wvu.PrintArea" localSheetId="4" hidden="1">'Спец'!$A$1:$BM$28</definedName>
    <definedName name="Z_A3D306C4_F4E9_4E6D_9D8A_49728588E31E_.wvu.PrintArea" localSheetId="0" hidden="1">'Ф1'!$A$1:$CM$27</definedName>
    <definedName name="Z_C8523AA1_6375_11D0_8D4F_000244338D4F_.wvu.Cols" localSheetId="4" hidden="1">'Спец'!#REF!,'Спец'!#REF!,'Спец'!$R:$T,'Спец'!#REF!</definedName>
    <definedName name="Z_C8523AA1_6375_11D0_8D4F_000244338D4F_.wvu.PrintArea" localSheetId="3" hidden="1">'общий'!$A$1:$CQ$29</definedName>
    <definedName name="Z_F8CCE7C0_A871_11DA_AE0D_F7B4CD0CBA7D_.wvu.Cols" localSheetId="3" hidden="1">'общий'!#REF!,'общий'!#REF!</definedName>
    <definedName name="Z_F8CCE7C0_A871_11DA_AE0D_F7B4CD0CBA7D_.wvu.PrintArea" localSheetId="3" hidden="1">'общий'!$A$1:$EG$30</definedName>
    <definedName name="Z_F8CCE7C0_A871_11DA_AE0D_F7B4CD0CBA7D_.wvu.PrintArea" localSheetId="4" hidden="1">'Спец'!$A$1:$BM$28</definedName>
    <definedName name="Z_F8CCE7C0_A871_11DA_AE0D_F7B4CD0CBA7D_.wvu.PrintArea" localSheetId="0" hidden="1">'Ф1'!$A$1:$CM$27</definedName>
    <definedName name="_xlnm.Print_Titles" localSheetId="3">'общий'!$A:$B</definedName>
    <definedName name="_xlnm.Print_Titles" localSheetId="4">'Спец'!$A:$B</definedName>
    <definedName name="_xlnm.Print_Area" localSheetId="3">'общий'!$A$1:$EJ$32</definedName>
  </definedNames>
  <calcPr fullCalcOnLoad="1"/>
</workbook>
</file>

<file path=xl/sharedStrings.xml><?xml version="1.0" encoding="utf-8"?>
<sst xmlns="http://schemas.openxmlformats.org/spreadsheetml/2006/main" count="1200" uniqueCount="243">
  <si>
    <t>%</t>
  </si>
  <si>
    <t>1.</t>
  </si>
  <si>
    <t>Суворовский</t>
  </si>
  <si>
    <t>2.</t>
  </si>
  <si>
    <t>Богатянский</t>
  </si>
  <si>
    <t>3.</t>
  </si>
  <si>
    <t>Бросский</t>
  </si>
  <si>
    <t>4.</t>
  </si>
  <si>
    <t>Каланчакский</t>
  </si>
  <si>
    <t>5.</t>
  </si>
  <si>
    <t>Каменский</t>
  </si>
  <si>
    <t>6.</t>
  </si>
  <si>
    <t>Камышовский</t>
  </si>
  <si>
    <t>7.</t>
  </si>
  <si>
    <t>Кирничанский</t>
  </si>
  <si>
    <t>8.</t>
  </si>
  <si>
    <t>9.</t>
  </si>
  <si>
    <t>10.</t>
  </si>
  <si>
    <t>Кислицкий</t>
  </si>
  <si>
    <t>Ларжанский</t>
  </si>
  <si>
    <t>Лощиновский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</si>
  <si>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</si>
  <si>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</si>
  <si>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</si>
  <si>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</si>
  <si>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</si>
  <si>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</si>
  <si>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</si>
  <si>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</si>
  <si>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</si>
  <si>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Матросский</t>
  </si>
  <si>
    <t>Муравлёвский</t>
  </si>
  <si>
    <t>Новонекрасовский</t>
  </si>
  <si>
    <t>Новопокровский</t>
  </si>
  <si>
    <t>Озернянский</t>
  </si>
  <si>
    <t>Першотравневый</t>
  </si>
  <si>
    <t>Сафьянский</t>
  </si>
  <si>
    <t>Старонекрасовский</t>
  </si>
  <si>
    <t>Утконосовский</t>
  </si>
  <si>
    <t>наименование</t>
  </si>
  <si>
    <t>№</t>
  </si>
  <si>
    <t>план</t>
  </si>
  <si>
    <t>факт</t>
  </si>
  <si>
    <t>ИТОГО с/с + п/с</t>
  </si>
  <si>
    <t>Район</t>
  </si>
  <si>
    <t>ВСЕГО:</t>
  </si>
  <si>
    <t>070000</t>
  </si>
  <si>
    <t>080000</t>
  </si>
  <si>
    <t>090300</t>
  </si>
  <si>
    <t>090700</t>
  </si>
  <si>
    <t>090405</t>
  </si>
  <si>
    <t>090412</t>
  </si>
  <si>
    <t>090407</t>
  </si>
  <si>
    <t>090902</t>
  </si>
  <si>
    <t>091204</t>
  </si>
  <si>
    <t>110000</t>
  </si>
  <si>
    <t>120000</t>
  </si>
  <si>
    <t>130000</t>
  </si>
  <si>
    <t>грн.</t>
  </si>
  <si>
    <t>Управление</t>
  </si>
  <si>
    <t>Здравоохранение</t>
  </si>
  <si>
    <t>Льготы ВОВ</t>
  </si>
  <si>
    <t>Детские пособия</t>
  </si>
  <si>
    <t>Приют</t>
  </si>
  <si>
    <t>Субсидии</t>
  </si>
  <si>
    <t>Терцентр</t>
  </si>
  <si>
    <t>Дом-интернат для прест.</t>
  </si>
  <si>
    <t>Помощь малообеспечен.</t>
  </si>
  <si>
    <t>Культура</t>
  </si>
  <si>
    <t>090203</t>
  </si>
  <si>
    <t>Милиция</t>
  </si>
  <si>
    <t>образование</t>
  </si>
  <si>
    <t>Льготы</t>
  </si>
  <si>
    <t>Инвалиды детства</t>
  </si>
  <si>
    <t>Лидер</t>
  </si>
  <si>
    <t>Благоустройство</t>
  </si>
  <si>
    <t>Фонд охраны окр.среды</t>
  </si>
  <si>
    <t>240600</t>
  </si>
  <si>
    <t>Итого расходов</t>
  </si>
  <si>
    <t>субвенция</t>
  </si>
  <si>
    <t>ВСЕГО РАСХОДОВ</t>
  </si>
  <si>
    <t>250320</t>
  </si>
  <si>
    <t>010116</t>
  </si>
  <si>
    <t>090401</t>
  </si>
  <si>
    <t>Пожар.часть</t>
  </si>
  <si>
    <t>060702</t>
  </si>
  <si>
    <t>Фонд правопорядок</t>
  </si>
  <si>
    <t>240900</t>
  </si>
  <si>
    <t>Ремонт дорог</t>
  </si>
  <si>
    <t>170000</t>
  </si>
  <si>
    <t xml:space="preserve"> </t>
  </si>
  <si>
    <t>090200</t>
  </si>
  <si>
    <t>Матпомощь</t>
  </si>
  <si>
    <t>090100</t>
  </si>
  <si>
    <t>100200</t>
  </si>
  <si>
    <t>Спорт</t>
  </si>
  <si>
    <t>Капрасходы</t>
  </si>
  <si>
    <t>150000</t>
  </si>
  <si>
    <t>Землеустройство</t>
  </si>
  <si>
    <t>160000</t>
  </si>
  <si>
    <t>Субвенция</t>
  </si>
  <si>
    <r>
      <t xml:space="preserve">Анализ исполнения  расходной части </t>
    </r>
    <r>
      <rPr>
        <b/>
        <i/>
        <u val="single"/>
        <sz val="18"/>
        <color indexed="52"/>
        <rFont val="Bookman Old Style"/>
        <family val="1"/>
      </rPr>
      <t>СПЕЦИАЛЬНОГО</t>
    </r>
    <r>
      <rPr>
        <b/>
        <i/>
        <u val="single"/>
        <sz val="18"/>
        <rFont val="Bookman Old Style"/>
        <family val="1"/>
      </rPr>
      <t xml:space="preserve"> фонда Изм-кого района</t>
    </r>
  </si>
  <si>
    <t>250350</t>
  </si>
  <si>
    <t>Анализ исполнения  расходной части СПЕЦИАЛЬНОГО фонда Изм-кого района</t>
  </si>
  <si>
    <t>спонсоры</t>
  </si>
  <si>
    <t>170901</t>
  </si>
  <si>
    <t>Транспорт</t>
  </si>
  <si>
    <t>061007</t>
  </si>
  <si>
    <t>Благоустр</t>
  </si>
  <si>
    <t>150122</t>
  </si>
  <si>
    <t>Инвестиц.проекты</t>
  </si>
  <si>
    <t>Инвестиц.проект</t>
  </si>
  <si>
    <t>Инвестиц.проек</t>
  </si>
  <si>
    <t>150101</t>
  </si>
  <si>
    <t>170102, 170302</t>
  </si>
  <si>
    <t>90700</t>
  </si>
  <si>
    <t>180000</t>
  </si>
  <si>
    <t>250323</t>
  </si>
  <si>
    <t>150201</t>
  </si>
  <si>
    <t>091101-091108,090802</t>
  </si>
  <si>
    <t>услуги</t>
  </si>
  <si>
    <t>Субсидії</t>
  </si>
  <si>
    <t>090412, 090416</t>
  </si>
  <si>
    <t>250914</t>
  </si>
  <si>
    <t>молодеж.программы</t>
  </si>
  <si>
    <t>091102</t>
  </si>
  <si>
    <t>Рез фонд</t>
  </si>
  <si>
    <t>Молодеж. прогр.</t>
  </si>
  <si>
    <t>091107</t>
  </si>
  <si>
    <t>назва</t>
  </si>
  <si>
    <t>Управління</t>
  </si>
  <si>
    <t>Дитячі</t>
  </si>
  <si>
    <t>Освіта</t>
  </si>
  <si>
    <t>Охорона здоров"я</t>
  </si>
  <si>
    <t>Пільги</t>
  </si>
  <si>
    <t>Комп"ютеризац</t>
  </si>
  <si>
    <t>Економ. діяльність</t>
  </si>
  <si>
    <t xml:space="preserve">Благоустрій </t>
  </si>
  <si>
    <t>Преса</t>
  </si>
  <si>
    <t>Фізкультура</t>
  </si>
  <si>
    <t>Пр. "Власн.дім"</t>
  </si>
  <si>
    <t>и стих.лихо</t>
  </si>
  <si>
    <t>Всього видатків</t>
  </si>
  <si>
    <t>Благоустрій</t>
  </si>
  <si>
    <t>Притулок</t>
  </si>
  <si>
    <t>Фонд охорони навк..серед.</t>
  </si>
  <si>
    <t>Інвестиц.проект</t>
  </si>
  <si>
    <t>Суворівський</t>
  </si>
  <si>
    <t>Багатянський</t>
  </si>
  <si>
    <t>Броський</t>
  </si>
  <si>
    <t>Каланчакський</t>
  </si>
  <si>
    <t>Кам"янський</t>
  </si>
  <si>
    <t>Комишівський</t>
  </si>
  <si>
    <t>Кирничанський</t>
  </si>
  <si>
    <t>Кислицький</t>
  </si>
  <si>
    <t>Ларжанський</t>
  </si>
  <si>
    <t>Лощинівський</t>
  </si>
  <si>
    <t>Матроський</t>
  </si>
  <si>
    <t>Муравлівський</t>
  </si>
  <si>
    <t>Новонекрасівський</t>
  </si>
  <si>
    <t>Новопокрівський</t>
  </si>
  <si>
    <t>Озерненський</t>
  </si>
  <si>
    <t>Саф"янський</t>
  </si>
  <si>
    <t>Старонекрасівський</t>
  </si>
  <si>
    <t>Утконосівський</t>
  </si>
  <si>
    <t>ВСЬОГО:</t>
  </si>
  <si>
    <t>ВСЬОГО с/с</t>
  </si>
  <si>
    <t>Комп"ютерізація</t>
  </si>
  <si>
    <t>Економічна діяльність</t>
  </si>
  <si>
    <t>Підт-ка ветеран.організ.</t>
  </si>
  <si>
    <r>
      <t xml:space="preserve">Аналіз виконання видаткової частини </t>
    </r>
    <r>
      <rPr>
        <b/>
        <i/>
        <u val="single"/>
        <sz val="18"/>
        <color indexed="8"/>
        <rFont val="Bookman Old Style"/>
        <family val="1"/>
      </rPr>
      <t>СПЕЦІАЛЬНОГО</t>
    </r>
    <r>
      <rPr>
        <b/>
        <i/>
        <u val="single"/>
        <sz val="18"/>
        <rFont val="Bookman Old Style"/>
        <family val="1"/>
      </rPr>
      <t xml:space="preserve"> фонду Ізм-кого району</t>
    </r>
  </si>
  <si>
    <t>Грошова комп.</t>
  </si>
  <si>
    <t>091205</t>
  </si>
  <si>
    <r>
      <t>Аналіз виконання  видаткової частини ЗАГАЛЬНО</t>
    </r>
    <r>
      <rPr>
        <b/>
        <u val="single"/>
        <sz val="16"/>
        <color indexed="8"/>
        <rFont val="Tahoma"/>
        <family val="2"/>
      </rPr>
      <t>ГО</t>
    </r>
    <r>
      <rPr>
        <b/>
        <u val="single"/>
        <sz val="16"/>
        <color indexed="11"/>
        <rFont val="Tahoma"/>
        <family val="2"/>
      </rPr>
      <t xml:space="preserve"> </t>
    </r>
    <r>
      <rPr>
        <b/>
        <u val="single"/>
        <sz val="16"/>
        <rFont val="Tahoma"/>
        <family val="2"/>
      </rPr>
      <t>бюджету Ізмаїльського району</t>
    </r>
  </si>
  <si>
    <t>250324</t>
  </si>
  <si>
    <t>Субвенц Інв проекти</t>
  </si>
  <si>
    <t>тис.грн.</t>
  </si>
  <si>
    <t>Першотравневський</t>
  </si>
  <si>
    <t>160101</t>
  </si>
  <si>
    <t>Землеустрій</t>
  </si>
  <si>
    <t>та мат.допом.</t>
  </si>
  <si>
    <t xml:space="preserve">                      Мол.прогр, Центр мол.</t>
  </si>
  <si>
    <t>100000</t>
  </si>
  <si>
    <t>бюд развития</t>
  </si>
  <si>
    <t>170703</t>
  </si>
  <si>
    <t>250354</t>
  </si>
  <si>
    <t>Субвенц. з держ.бюдж. на дороги</t>
  </si>
  <si>
    <t>Інші субвенції</t>
  </si>
  <si>
    <t>Субвенц. з держ.бюдж. на дорог</t>
  </si>
  <si>
    <t xml:space="preserve">                    Управління</t>
  </si>
  <si>
    <t xml:space="preserve">         Охорона здоров"я</t>
  </si>
  <si>
    <t>250380</t>
  </si>
  <si>
    <t>150202</t>
  </si>
  <si>
    <t xml:space="preserve">Капвидатки </t>
  </si>
  <si>
    <t xml:space="preserve">  </t>
  </si>
  <si>
    <t>150201,150118</t>
  </si>
  <si>
    <t>150101,150118</t>
  </si>
  <si>
    <t>130107</t>
  </si>
  <si>
    <t>Ремонт дорог та інші заходи</t>
  </si>
  <si>
    <t>Ремонт дорог і інші заходи</t>
  </si>
  <si>
    <t>Транспорт, дорожне х-во</t>
  </si>
  <si>
    <t>90200, 090407</t>
  </si>
  <si>
    <t>Субвенція на  функціонування єдиного центру надання адміністративних послуг        250380</t>
  </si>
  <si>
    <t>061007, 60702</t>
  </si>
  <si>
    <t>090300-90401,090413,091300</t>
  </si>
  <si>
    <t>Пожежна охорона,   інші правоохоронні заходи</t>
  </si>
  <si>
    <t>Субвенц інвестиц. проекти</t>
  </si>
  <si>
    <t>Субвенція на утрим.объектов спільного корист.</t>
  </si>
  <si>
    <t>Поховання</t>
  </si>
  <si>
    <t>Вібори 250203</t>
  </si>
  <si>
    <t>Субвенція на вибори 250388</t>
  </si>
  <si>
    <t>Інші додаткові дотації 250315</t>
  </si>
  <si>
    <t>250344</t>
  </si>
  <si>
    <t>130112</t>
  </si>
  <si>
    <t>Субвенція на виконання соц.-економічн. та культ.розвитку регіонів</t>
  </si>
  <si>
    <t>Сільське і лісове господарство, рибне господарство та мисливство            160101</t>
  </si>
  <si>
    <t>Організація та проведення громадських робіт           90501</t>
  </si>
  <si>
    <t>Субв з с/рад на харчування для НВК 250380</t>
  </si>
  <si>
    <t>Ремонт доріг</t>
  </si>
  <si>
    <t>060702, 061007</t>
  </si>
  <si>
    <t>Пожеж.частина та інші правоохоронні заходи і заклади</t>
  </si>
  <si>
    <t>180410, 180404</t>
  </si>
  <si>
    <t>Субв з с/рад на створення ЦНАП         250380</t>
  </si>
  <si>
    <t>Субв з с/рад на харчування дітей 1-4 класів                             250380</t>
  </si>
  <si>
    <t>Субв з с/рад на труд.архів               250380</t>
  </si>
  <si>
    <t>Субв з с/рад на поточний ремонт Матроського НВК та Кирничанської ЗОШ                250380</t>
  </si>
  <si>
    <t>Субв з с/рад на утримання народних колективів                    250380</t>
  </si>
  <si>
    <t>Субв з с/рад на оздоровлення               250380</t>
  </si>
  <si>
    <t>Субв.з рай-на селам на сади та БК                                    250380</t>
  </si>
  <si>
    <t>Субв. з рай-на на ремонт                     дамби                        250380</t>
  </si>
  <si>
    <t>субвенція з рай-на на розроблення док-ції землеустрою зі встановлення водоохоронної зони і прибрежної захисної смуги навколо озера Сафיяни  250380</t>
  </si>
  <si>
    <t>Субвенція з місцевого бюджету державному бюджету на виконання програм соціально-економічного та культурного розвитку регіонів     250344</t>
  </si>
  <si>
    <t>Інші видатки
250404</t>
  </si>
  <si>
    <t>Компенсаційні виплати на пільговий проїзд автомобільним транспортом      170102</t>
  </si>
  <si>
    <t>Організація та провед.громад.робіт</t>
  </si>
  <si>
    <t>Трансферти "Глобус"</t>
  </si>
  <si>
    <t>Охорона і раціональне використання земель                                                    200200</t>
  </si>
  <si>
    <t>за січень - червень   2016 р.</t>
  </si>
  <si>
    <t>Субв з с/рад на поточний ремонт Кислицької амбулаторії               250380</t>
  </si>
  <si>
    <t>на 1 .07.  2016 года</t>
  </si>
  <si>
    <t>на 1.07. 2016 года</t>
  </si>
  <si>
    <t>на 1,07.  2016 года</t>
  </si>
  <si>
    <t xml:space="preserve">за січень - червень   2016 року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</si>
</sst>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;[Red]0"/>
    <numFmt numFmtId="173" formatCode="0.0"/>
    <numFmt numFmtId="174" formatCode="#,##0_р_."/>
    <numFmt numFmtId="175" formatCode="0.0%"/>
    <numFmt numFmtId="176" formatCode="0.000"/>
    <numFmt numFmtId="177" formatCode="#,##0.0\ &quot;грн.&quot;"/>
    <numFmt numFmtId="178" formatCode="#,##0.0"/>
    <numFmt numFmtId="179" formatCode="0.000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0000000000000000000000000"/>
    <numFmt numFmtId="203" formatCode="0.000000000000000000000000000"/>
    <numFmt numFmtId="204" formatCode="0.0000000000000000000000000000"/>
    <numFmt numFmtId="205" formatCode="0.00000000000000000000000000000"/>
    <numFmt numFmtId="206" formatCode="0.000000000000000000000000000000"/>
    <numFmt numFmtId="207" formatCode="0.0000000000000000000000000000000"/>
    <numFmt numFmtId="208" formatCode="0.00000000000000000000000000000000"/>
    <numFmt numFmtId="209" formatCode="0.000000000000000000000000000000000"/>
    <numFmt numFmtId="210" formatCode="_-* #,##0.0_р_._-;\-* #,##0.0_р_._-;_-* &quot;-&quot;??_р_._-;_-@_-"/>
    <numFmt numFmtId="211" formatCode="_-* #,##0.0000_р_._-;\-* #,##0.0000_р_._-;_-* &quot;-&quot;??_р_._-;_-@_-"/>
    <numFmt numFmtId="212" formatCode="_-* #,##0.000_р_._-;\-* #,##0.000_р_._-;_-* &quot;-&quot;???_р_._-;_-@_-"/>
  </numFmts>
  <fonts count="33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i/>
      <u val="single"/>
      <sz val="18"/>
      <name val="Bookman Old Style"/>
      <family val="1"/>
    </font>
    <font>
      <b/>
      <i/>
      <u val="single"/>
      <sz val="18"/>
      <color indexed="52"/>
      <name val="Bookman Old Style"/>
      <family val="1"/>
    </font>
    <font>
      <b/>
      <u val="single"/>
      <sz val="16"/>
      <name val="Tahoma"/>
      <family val="2"/>
    </font>
    <font>
      <b/>
      <u val="single"/>
      <sz val="16"/>
      <color indexed="11"/>
      <name val="Tahoma"/>
      <family val="2"/>
    </font>
    <font>
      <b/>
      <sz val="16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8"/>
      <name val="Arial Cyr"/>
      <family val="2"/>
    </font>
    <font>
      <sz val="14"/>
      <name val="Arial Cyr"/>
      <family val="0"/>
    </font>
    <font>
      <b/>
      <sz val="16"/>
      <color indexed="8"/>
      <name val="Arial Cyr"/>
      <family val="2"/>
    </font>
    <font>
      <b/>
      <i/>
      <u val="single"/>
      <sz val="18"/>
      <color indexed="8"/>
      <name val="Bookman Old Style"/>
      <family val="1"/>
    </font>
    <font>
      <b/>
      <u val="single"/>
      <sz val="16"/>
      <color indexed="8"/>
      <name val="Tahoma"/>
      <family val="2"/>
    </font>
    <font>
      <sz val="10"/>
      <color indexed="8"/>
      <name val="Arial Cyr"/>
      <family val="2"/>
    </font>
    <font>
      <sz val="16"/>
      <color indexed="9"/>
      <name val="Arial Cyr"/>
      <family val="2"/>
    </font>
    <font>
      <b/>
      <sz val="16"/>
      <color indexed="10"/>
      <name val="Arial Cyr"/>
      <family val="2"/>
    </font>
    <font>
      <sz val="14"/>
      <color indexed="8"/>
      <name val="Arial Cyr"/>
      <family val="2"/>
    </font>
    <font>
      <sz val="16"/>
      <color indexed="10"/>
      <name val="Arial Cyr"/>
      <family val="2"/>
    </font>
    <font>
      <sz val="12"/>
      <color indexed="8"/>
      <name val="Arial Cyr"/>
      <family val="2"/>
    </font>
    <font>
      <b/>
      <sz val="11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sz val="20"/>
      <color indexed="9"/>
      <name val="Arial Cyr"/>
      <family val="2"/>
    </font>
    <font>
      <sz val="20"/>
      <color indexed="8"/>
      <name val="Arial Cyr"/>
      <family val="2"/>
    </font>
    <font>
      <b/>
      <sz val="20"/>
      <color indexed="8"/>
      <name val="Arial Cyr"/>
      <family val="2"/>
    </font>
    <font>
      <b/>
      <sz val="20"/>
      <color indexed="10"/>
      <name val="Arial Cyr"/>
      <family val="2"/>
    </font>
    <font>
      <sz val="10"/>
      <name val="Helv"/>
      <family val="0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4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2" xfId="0" applyFont="1" applyBorder="1" applyAlignment="1">
      <alignment/>
    </xf>
    <xf numFmtId="173" fontId="3" fillId="0" borderId="42" xfId="0" applyNumberFormat="1" applyFont="1" applyBorder="1" applyAlignment="1">
      <alignment/>
    </xf>
    <xf numFmtId="175" fontId="3" fillId="0" borderId="18" xfId="0" applyNumberFormat="1" applyFont="1" applyBorder="1" applyAlignment="1">
      <alignment/>
    </xf>
    <xf numFmtId="0" fontId="3" fillId="0" borderId="15" xfId="0" applyFont="1" applyBorder="1" applyAlignment="1">
      <alignment/>
    </xf>
    <xf numFmtId="173" fontId="3" fillId="0" borderId="40" xfId="0" applyNumberFormat="1" applyFont="1" applyBorder="1" applyAlignment="1">
      <alignment/>
    </xf>
    <xf numFmtId="173" fontId="4" fillId="0" borderId="4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3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3" xfId="0" applyFont="1" applyBorder="1" applyAlignment="1">
      <alignment/>
    </xf>
    <xf numFmtId="173" fontId="3" fillId="0" borderId="23" xfId="0" applyNumberFormat="1" applyFont="1" applyBorder="1" applyAlignment="1">
      <alignment/>
    </xf>
    <xf numFmtId="173" fontId="3" fillId="0" borderId="21" xfId="0" applyNumberFormat="1" applyFont="1" applyBorder="1" applyAlignment="1">
      <alignment/>
    </xf>
    <xf numFmtId="173" fontId="3" fillId="0" borderId="43" xfId="0" applyNumberFormat="1" applyFont="1" applyBorder="1" applyAlignment="1">
      <alignment/>
    </xf>
    <xf numFmtId="173" fontId="3" fillId="0" borderId="2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173" fontId="3" fillId="0" borderId="46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73" fontId="3" fillId="0" borderId="36" xfId="0" applyNumberFormat="1" applyFont="1" applyBorder="1" applyAlignment="1">
      <alignment/>
    </xf>
    <xf numFmtId="173" fontId="3" fillId="0" borderId="29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173" fontId="3" fillId="0" borderId="44" xfId="0" applyNumberFormat="1" applyFont="1" applyBorder="1" applyAlignment="1">
      <alignment/>
    </xf>
    <xf numFmtId="173" fontId="3" fillId="0" borderId="48" xfId="0" applyNumberFormat="1" applyFont="1" applyBorder="1" applyAlignment="1">
      <alignment/>
    </xf>
    <xf numFmtId="173" fontId="3" fillId="0" borderId="51" xfId="0" applyNumberFormat="1" applyFont="1" applyBorder="1" applyAlignment="1">
      <alignment/>
    </xf>
    <xf numFmtId="0" fontId="3" fillId="0" borderId="10" xfId="0" applyFont="1" applyBorder="1" applyAlignment="1">
      <alignment/>
    </xf>
    <xf numFmtId="173" fontId="3" fillId="0" borderId="12" xfId="0" applyNumberFormat="1" applyFont="1" applyBorder="1" applyAlignment="1">
      <alignment/>
    </xf>
    <xf numFmtId="173" fontId="3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173" fontId="3" fillId="0" borderId="18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3" fillId="0" borderId="7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4" fillId="0" borderId="9" xfId="0" applyNumberFormat="1" applyFont="1" applyBorder="1" applyAlignment="1">
      <alignment/>
    </xf>
    <xf numFmtId="0" fontId="3" fillId="0" borderId="52" xfId="0" applyFont="1" applyBorder="1" applyAlignment="1">
      <alignment/>
    </xf>
    <xf numFmtId="173" fontId="3" fillId="0" borderId="32" xfId="0" applyNumberFormat="1" applyFont="1" applyBorder="1" applyAlignment="1">
      <alignment/>
    </xf>
    <xf numFmtId="175" fontId="3" fillId="0" borderId="53" xfId="0" applyNumberFormat="1" applyFont="1" applyBorder="1" applyAlignment="1">
      <alignment/>
    </xf>
    <xf numFmtId="173" fontId="4" fillId="0" borderId="32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173" fontId="3" fillId="0" borderId="57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173" fontId="4" fillId="0" borderId="60" xfId="0" applyNumberFormat="1" applyFont="1" applyBorder="1" applyAlignment="1">
      <alignment/>
    </xf>
    <xf numFmtId="173" fontId="4" fillId="0" borderId="59" xfId="0" applyNumberFormat="1" applyFont="1" applyBorder="1" applyAlignment="1">
      <alignment/>
    </xf>
    <xf numFmtId="0" fontId="4" fillId="0" borderId="31" xfId="0" applyFont="1" applyBorder="1" applyAlignment="1">
      <alignment/>
    </xf>
    <xf numFmtId="175" fontId="4" fillId="0" borderId="29" xfId="0" applyNumberFormat="1" applyFont="1" applyBorder="1" applyAlignment="1">
      <alignment/>
    </xf>
    <xf numFmtId="175" fontId="4" fillId="0" borderId="60" xfId="0" applyNumberFormat="1" applyFont="1" applyBorder="1" applyAlignment="1">
      <alignment/>
    </xf>
    <xf numFmtId="173" fontId="4" fillId="0" borderId="56" xfId="0" applyNumberFormat="1" applyFont="1" applyBorder="1" applyAlignment="1">
      <alignment/>
    </xf>
    <xf numFmtId="173" fontId="4" fillId="0" borderId="55" xfId="0" applyNumberFormat="1" applyFont="1" applyBorder="1" applyAlignment="1">
      <alignment/>
    </xf>
    <xf numFmtId="173" fontId="3" fillId="0" borderId="38" xfId="0" applyNumberFormat="1" applyFont="1" applyBorder="1" applyAlignment="1">
      <alignment/>
    </xf>
    <xf numFmtId="173" fontId="4" fillId="0" borderId="58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/>
    </xf>
    <xf numFmtId="173" fontId="3" fillId="2" borderId="41" xfId="0" applyNumberFormat="1" applyFont="1" applyFill="1" applyBorder="1" applyAlignment="1">
      <alignment/>
    </xf>
    <xf numFmtId="173" fontId="3" fillId="2" borderId="21" xfId="0" applyNumberFormat="1" applyFont="1" applyFill="1" applyBorder="1" applyAlignment="1">
      <alignment/>
    </xf>
    <xf numFmtId="173" fontId="3" fillId="0" borderId="41" xfId="0" applyNumberFormat="1" applyFont="1" applyFill="1" applyBorder="1" applyAlignment="1">
      <alignment/>
    </xf>
    <xf numFmtId="0" fontId="3" fillId="0" borderId="61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8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173" fontId="3" fillId="0" borderId="5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6" xfId="0" applyFont="1" applyBorder="1" applyAlignment="1">
      <alignment/>
    </xf>
    <xf numFmtId="173" fontId="3" fillId="0" borderId="17" xfId="0" applyNumberFormat="1" applyFont="1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3" fillId="0" borderId="48" xfId="0" applyFont="1" applyBorder="1" applyAlignment="1">
      <alignment horizontal="center"/>
    </xf>
    <xf numFmtId="173" fontId="3" fillId="0" borderId="31" xfId="0" applyNumberFormat="1" applyFont="1" applyBorder="1" applyAlignment="1">
      <alignment/>
    </xf>
    <xf numFmtId="173" fontId="3" fillId="0" borderId="30" xfId="0" applyNumberFormat="1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3" fillId="0" borderId="64" xfId="0" applyNumberFormat="1" applyFont="1" applyBorder="1" applyAlignment="1">
      <alignment/>
    </xf>
    <xf numFmtId="173" fontId="3" fillId="0" borderId="8" xfId="0" applyNumberFormat="1" applyFont="1" applyBorder="1" applyAlignment="1">
      <alignment/>
    </xf>
    <xf numFmtId="173" fontId="3" fillId="0" borderId="22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45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3" fontId="3" fillId="0" borderId="65" xfId="0" applyNumberFormat="1" applyFont="1" applyBorder="1" applyAlignment="1">
      <alignment/>
    </xf>
    <xf numFmtId="173" fontId="3" fillId="0" borderId="26" xfId="0" applyNumberFormat="1" applyFont="1" applyBorder="1" applyAlignment="1">
      <alignment/>
    </xf>
    <xf numFmtId="173" fontId="3" fillId="0" borderId="9" xfId="0" applyNumberFormat="1" applyFont="1" applyFill="1" applyBorder="1" applyAlignment="1">
      <alignment/>
    </xf>
    <xf numFmtId="173" fontId="3" fillId="0" borderId="20" xfId="0" applyNumberFormat="1" applyFont="1" applyBorder="1" applyAlignment="1">
      <alignment/>
    </xf>
    <xf numFmtId="2" fontId="4" fillId="0" borderId="55" xfId="0" applyNumberFormat="1" applyFont="1" applyBorder="1" applyAlignment="1">
      <alignment/>
    </xf>
    <xf numFmtId="173" fontId="3" fillId="0" borderId="47" xfId="0" applyNumberFormat="1" applyFont="1" applyBorder="1" applyAlignment="1">
      <alignment/>
    </xf>
    <xf numFmtId="176" fontId="4" fillId="0" borderId="55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176" fontId="4" fillId="0" borderId="59" xfId="0" applyNumberFormat="1" applyFont="1" applyBorder="1" applyAlignment="1">
      <alignment/>
    </xf>
    <xf numFmtId="176" fontId="4" fillId="0" borderId="54" xfId="0" applyNumberFormat="1" applyFont="1" applyBorder="1" applyAlignment="1">
      <alignment/>
    </xf>
    <xf numFmtId="176" fontId="4" fillId="0" borderId="56" xfId="0" applyNumberFormat="1" applyFont="1" applyBorder="1" applyAlignment="1">
      <alignment/>
    </xf>
    <xf numFmtId="176" fontId="3" fillId="0" borderId="57" xfId="0" applyNumberFormat="1" applyFont="1" applyBorder="1" applyAlignment="1">
      <alignment/>
    </xf>
    <xf numFmtId="176" fontId="3" fillId="0" borderId="54" xfId="0" applyNumberFormat="1" applyFont="1" applyBorder="1" applyAlignment="1">
      <alignment/>
    </xf>
    <xf numFmtId="176" fontId="4" fillId="0" borderId="60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58" xfId="0" applyNumberFormat="1" applyFont="1" applyBorder="1" applyAlignment="1">
      <alignment/>
    </xf>
    <xf numFmtId="176" fontId="3" fillId="0" borderId="56" xfId="0" applyNumberFormat="1" applyFont="1" applyBorder="1" applyAlignment="1">
      <alignment/>
    </xf>
    <xf numFmtId="176" fontId="4" fillId="0" borderId="57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176" fontId="3" fillId="0" borderId="24" xfId="0" applyNumberFormat="1" applyFon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Fill="1" applyBorder="1" applyAlignment="1">
      <alignment/>
    </xf>
    <xf numFmtId="173" fontId="3" fillId="0" borderId="49" xfId="0" applyNumberFormat="1" applyFont="1" applyBorder="1" applyAlignment="1">
      <alignment/>
    </xf>
    <xf numFmtId="210" fontId="3" fillId="0" borderId="10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34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73" fontId="3" fillId="0" borderId="49" xfId="0" applyNumberFormat="1" applyFont="1" applyFill="1" applyBorder="1" applyAlignment="1">
      <alignment/>
    </xf>
    <xf numFmtId="176" fontId="4" fillId="0" borderId="55" xfId="0" applyNumberFormat="1" applyFont="1" applyBorder="1" applyAlignment="1">
      <alignment/>
    </xf>
    <xf numFmtId="173" fontId="4" fillId="0" borderId="57" xfId="0" applyNumberFormat="1" applyFont="1" applyBorder="1" applyAlignment="1">
      <alignment/>
    </xf>
    <xf numFmtId="179" fontId="3" fillId="0" borderId="23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3" fontId="3" fillId="0" borderId="13" xfId="0" applyNumberFormat="1" applyFont="1" applyBorder="1" applyAlignment="1">
      <alignment/>
    </xf>
    <xf numFmtId="173" fontId="3" fillId="0" borderId="35" xfId="0" applyNumberFormat="1" applyFont="1" applyBorder="1" applyAlignment="1">
      <alignment/>
    </xf>
    <xf numFmtId="173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3" fillId="0" borderId="1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3" fillId="0" borderId="14" xfId="0" applyNumberFormat="1" applyFont="1" applyBorder="1" applyAlignment="1">
      <alignment/>
    </xf>
    <xf numFmtId="173" fontId="3" fillId="0" borderId="30" xfId="0" applyNumberFormat="1" applyFont="1" applyBorder="1" applyAlignment="1">
      <alignment horizontal="center"/>
    </xf>
    <xf numFmtId="173" fontId="3" fillId="0" borderId="33" xfId="0" applyNumberFormat="1" applyFont="1" applyBorder="1" applyAlignment="1">
      <alignment horizontal="center"/>
    </xf>
    <xf numFmtId="173" fontId="3" fillId="0" borderId="32" xfId="0" applyNumberFormat="1" applyFont="1" applyBorder="1" applyAlignment="1">
      <alignment horizontal="center"/>
    </xf>
    <xf numFmtId="173" fontId="3" fillId="0" borderId="31" xfId="0" applyNumberFormat="1" applyFont="1" applyBorder="1" applyAlignment="1">
      <alignment horizontal="center"/>
    </xf>
    <xf numFmtId="173" fontId="3" fillId="0" borderId="29" xfId="0" applyNumberFormat="1" applyFont="1" applyBorder="1" applyAlignment="1">
      <alignment horizontal="center"/>
    </xf>
    <xf numFmtId="173" fontId="3" fillId="0" borderId="55" xfId="0" applyNumberFormat="1" applyFont="1" applyBorder="1" applyAlignment="1">
      <alignment horizontal="center"/>
    </xf>
    <xf numFmtId="173" fontId="3" fillId="0" borderId="59" xfId="0" applyNumberFormat="1" applyFont="1" applyBorder="1" applyAlignment="1">
      <alignment horizontal="center"/>
    </xf>
    <xf numFmtId="173" fontId="3" fillId="0" borderId="57" xfId="0" applyNumberFormat="1" applyFont="1" applyBorder="1" applyAlignment="1">
      <alignment horizontal="center"/>
    </xf>
    <xf numFmtId="173" fontId="3" fillId="0" borderId="38" xfId="0" applyNumberFormat="1" applyFont="1" applyBorder="1" applyAlignment="1">
      <alignment horizontal="center"/>
    </xf>
    <xf numFmtId="173" fontId="3" fillId="0" borderId="28" xfId="0" applyNumberFormat="1" applyFont="1" applyBorder="1" applyAlignment="1">
      <alignment horizontal="center"/>
    </xf>
    <xf numFmtId="173" fontId="3" fillId="0" borderId="66" xfId="0" applyNumberFormat="1" applyFont="1" applyFill="1" applyBorder="1" applyAlignment="1">
      <alignment/>
    </xf>
    <xf numFmtId="173" fontId="12" fillId="0" borderId="66" xfId="0" applyNumberFormat="1" applyFont="1" applyFill="1" applyBorder="1" applyAlignment="1">
      <alignment/>
    </xf>
    <xf numFmtId="173" fontId="12" fillId="0" borderId="67" xfId="0" applyNumberFormat="1" applyFont="1" applyFill="1" applyBorder="1" applyAlignment="1">
      <alignment/>
    </xf>
    <xf numFmtId="173" fontId="5" fillId="0" borderId="0" xfId="0" applyNumberFormat="1" applyFont="1" applyAlignment="1">
      <alignment/>
    </xf>
    <xf numFmtId="173" fontId="9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173" fontId="4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13" fillId="0" borderId="0" xfId="0" applyNumberFormat="1" applyFont="1" applyAlignment="1">
      <alignment/>
    </xf>
    <xf numFmtId="2" fontId="3" fillId="0" borderId="57" xfId="0" applyNumberFormat="1" applyFont="1" applyBorder="1" applyAlignment="1">
      <alignment/>
    </xf>
    <xf numFmtId="173" fontId="3" fillId="2" borderId="1" xfId="0" applyNumberFormat="1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4" fillId="2" borderId="3" xfId="0" applyNumberFormat="1" applyFont="1" applyFill="1" applyBorder="1" applyAlignment="1">
      <alignment/>
    </xf>
    <xf numFmtId="173" fontId="4" fillId="2" borderId="4" xfId="0" applyNumberFormat="1" applyFont="1" applyFill="1" applyBorder="1" applyAlignment="1">
      <alignment/>
    </xf>
    <xf numFmtId="173" fontId="4" fillId="2" borderId="39" xfId="0" applyNumberFormat="1" applyFont="1" applyFill="1" applyBorder="1" applyAlignment="1">
      <alignment/>
    </xf>
    <xf numFmtId="1" fontId="4" fillId="2" borderId="12" xfId="0" applyNumberFormat="1" applyFont="1" applyFill="1" applyBorder="1" applyAlignment="1">
      <alignment/>
    </xf>
    <xf numFmtId="173" fontId="4" fillId="2" borderId="64" xfId="0" applyNumberFormat="1" applyFont="1" applyFill="1" applyBorder="1" applyAlignment="1">
      <alignment/>
    </xf>
    <xf numFmtId="173" fontId="4" fillId="2" borderId="6" xfId="0" applyNumberFormat="1" applyFont="1" applyFill="1" applyBorder="1" applyAlignment="1">
      <alignment/>
    </xf>
    <xf numFmtId="173" fontId="4" fillId="2" borderId="2" xfId="0" applyNumberFormat="1" applyFont="1" applyFill="1" applyBorder="1" applyAlignment="1">
      <alignment horizontal="center"/>
    </xf>
    <xf numFmtId="173" fontId="4" fillId="2" borderId="3" xfId="0" applyNumberFormat="1" applyFont="1" applyFill="1" applyBorder="1" applyAlignment="1">
      <alignment horizontal="center"/>
    </xf>
    <xf numFmtId="173" fontId="3" fillId="2" borderId="2" xfId="0" applyNumberFormat="1" applyFont="1" applyFill="1" applyBorder="1" applyAlignment="1">
      <alignment/>
    </xf>
    <xf numFmtId="173" fontId="4" fillId="2" borderId="4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73" fontId="3" fillId="2" borderId="13" xfId="0" applyNumberFormat="1" applyFont="1" applyFill="1" applyBorder="1" applyAlignment="1">
      <alignment/>
    </xf>
    <xf numFmtId="173" fontId="4" fillId="2" borderId="27" xfId="0" applyNumberFormat="1" applyFont="1" applyFill="1" applyBorder="1" applyAlignment="1">
      <alignment/>
    </xf>
    <xf numFmtId="173" fontId="4" fillId="2" borderId="28" xfId="0" applyNumberFormat="1" applyFont="1" applyFill="1" applyBorder="1" applyAlignment="1">
      <alignment/>
    </xf>
    <xf numFmtId="173" fontId="4" fillId="2" borderId="29" xfId="0" applyNumberFormat="1" applyFont="1" applyFill="1" applyBorder="1" applyAlignment="1">
      <alignment/>
    </xf>
    <xf numFmtId="49" fontId="4" fillId="2" borderId="28" xfId="0" applyNumberFormat="1" applyFont="1" applyFill="1" applyBorder="1" applyAlignment="1">
      <alignment/>
    </xf>
    <xf numFmtId="49" fontId="4" fillId="2" borderId="29" xfId="0" applyNumberFormat="1" applyFont="1" applyFill="1" applyBorder="1" applyAlignment="1">
      <alignment/>
    </xf>
    <xf numFmtId="173" fontId="3" fillId="2" borderId="27" xfId="0" applyNumberFormat="1" applyFont="1" applyFill="1" applyBorder="1" applyAlignment="1">
      <alignment/>
    </xf>
    <xf numFmtId="173" fontId="4" fillId="2" borderId="27" xfId="0" applyNumberFormat="1" applyFont="1" applyFill="1" applyBorder="1" applyAlignment="1">
      <alignment horizontal="center"/>
    </xf>
    <xf numFmtId="173" fontId="4" fillId="2" borderId="28" xfId="0" applyNumberFormat="1" applyFont="1" applyFill="1" applyBorder="1" applyAlignment="1">
      <alignment horizontal="center"/>
    </xf>
    <xf numFmtId="173" fontId="4" fillId="2" borderId="29" xfId="0" applyNumberFormat="1" applyFont="1" applyFill="1" applyBorder="1" applyAlignment="1">
      <alignment horizontal="center"/>
    </xf>
    <xf numFmtId="173" fontId="3" fillId="2" borderId="14" xfId="0" applyNumberFormat="1" applyFont="1" applyFill="1" applyBorder="1" applyAlignment="1">
      <alignment/>
    </xf>
    <xf numFmtId="49" fontId="3" fillId="2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210" fontId="3" fillId="0" borderId="30" xfId="0" applyNumberFormat="1" applyFont="1" applyBorder="1" applyAlignment="1">
      <alignment horizontal="left"/>
    </xf>
    <xf numFmtId="176" fontId="3" fillId="0" borderId="7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3" fontId="12" fillId="0" borderId="54" xfId="0" applyNumberFormat="1" applyFont="1" applyFill="1" applyBorder="1" applyAlignment="1">
      <alignment/>
    </xf>
    <xf numFmtId="173" fontId="14" fillId="0" borderId="54" xfId="0" applyNumberFormat="1" applyFont="1" applyFill="1" applyBorder="1" applyAlignment="1">
      <alignment/>
    </xf>
    <xf numFmtId="173" fontId="14" fillId="0" borderId="57" xfId="0" applyNumberFormat="1" applyFont="1" applyFill="1" applyBorder="1" applyAlignment="1">
      <alignment/>
    </xf>
    <xf numFmtId="0" fontId="12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0" fontId="4" fillId="0" borderId="58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173" fontId="4" fillId="2" borderId="14" xfId="0" applyNumberFormat="1" applyFont="1" applyFill="1" applyBorder="1" applyAlignment="1">
      <alignment/>
    </xf>
    <xf numFmtId="173" fontId="4" fillId="2" borderId="0" xfId="0" applyNumberFormat="1" applyFont="1" applyFill="1" applyBorder="1" applyAlignment="1">
      <alignment/>
    </xf>
    <xf numFmtId="173" fontId="4" fillId="2" borderId="68" xfId="0" applyNumberFormat="1" applyFont="1" applyFill="1" applyBorder="1" applyAlignment="1">
      <alignment/>
    </xf>
    <xf numFmtId="173" fontId="4" fillId="0" borderId="55" xfId="0" applyNumberFormat="1" applyFont="1" applyBorder="1" applyAlignment="1">
      <alignment/>
    </xf>
    <xf numFmtId="1" fontId="4" fillId="2" borderId="28" xfId="0" applyNumberFormat="1" applyFont="1" applyFill="1" applyBorder="1" applyAlignment="1">
      <alignment/>
    </xf>
    <xf numFmtId="173" fontId="3" fillId="0" borderId="69" xfId="0" applyNumberFormat="1" applyFont="1" applyBorder="1" applyAlignment="1">
      <alignment horizontal="center"/>
    </xf>
    <xf numFmtId="0" fontId="3" fillId="0" borderId="62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49" fontId="3" fillId="2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2" fontId="3" fillId="0" borderId="40" xfId="0" applyNumberFormat="1" applyFont="1" applyBorder="1" applyAlignment="1">
      <alignment/>
    </xf>
    <xf numFmtId="173" fontId="4" fillId="0" borderId="59" xfId="0" applyNumberFormat="1" applyFont="1" applyBorder="1" applyAlignment="1">
      <alignment/>
    </xf>
    <xf numFmtId="173" fontId="3" fillId="0" borderId="58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21" xfId="0" applyFont="1" applyBorder="1" applyAlignment="1">
      <alignment/>
    </xf>
    <xf numFmtId="0" fontId="12" fillId="0" borderId="0" xfId="0" applyFont="1" applyBorder="1" applyAlignment="1">
      <alignment/>
    </xf>
    <xf numFmtId="173" fontId="17" fillId="0" borderId="0" xfId="0" applyNumberFormat="1" applyFont="1" applyAlignment="1">
      <alignment/>
    </xf>
    <xf numFmtId="173" fontId="18" fillId="0" borderId="41" xfId="0" applyNumberFormat="1" applyFont="1" applyBorder="1" applyAlignment="1">
      <alignment/>
    </xf>
    <xf numFmtId="173" fontId="18" fillId="0" borderId="22" xfId="0" applyNumberFormat="1" applyFont="1" applyBorder="1" applyAlignment="1">
      <alignment/>
    </xf>
    <xf numFmtId="173" fontId="18" fillId="0" borderId="9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73" fontId="12" fillId="0" borderId="13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center"/>
    </xf>
    <xf numFmtId="180" fontId="1" fillId="2" borderId="0" xfId="0" applyNumberFormat="1" applyFont="1" applyFill="1" applyAlignment="1">
      <alignment/>
    </xf>
    <xf numFmtId="173" fontId="18" fillId="0" borderId="36" xfId="0" applyNumberFormat="1" applyFont="1" applyBorder="1" applyAlignment="1">
      <alignment/>
    </xf>
    <xf numFmtId="49" fontId="4" fillId="0" borderId="68" xfId="0" applyNumberFormat="1" applyFont="1" applyBorder="1" applyAlignment="1">
      <alignment/>
    </xf>
    <xf numFmtId="173" fontId="3" fillId="0" borderId="56" xfId="0" applyNumberFormat="1" applyFont="1" applyBorder="1" applyAlignment="1">
      <alignment/>
    </xf>
    <xf numFmtId="0" fontId="0" fillId="0" borderId="14" xfId="0" applyBorder="1" applyAlignment="1">
      <alignment/>
    </xf>
    <xf numFmtId="176" fontId="3" fillId="0" borderId="34" xfId="0" applyNumberFormat="1" applyFont="1" applyBorder="1" applyAlignment="1">
      <alignment/>
    </xf>
    <xf numFmtId="2" fontId="3" fillId="0" borderId="47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173" fontId="4" fillId="2" borderId="33" xfId="0" applyNumberFormat="1" applyFont="1" applyFill="1" applyBorder="1" applyAlignment="1">
      <alignment/>
    </xf>
    <xf numFmtId="0" fontId="3" fillId="0" borderId="46" xfId="0" applyFont="1" applyBorder="1" applyAlignment="1">
      <alignment horizontal="center"/>
    </xf>
    <xf numFmtId="176" fontId="3" fillId="0" borderId="39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2" borderId="2" xfId="0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3" fillId="2" borderId="4" xfId="0" applyNumberFormat="1" applyFont="1" applyFill="1" applyBorder="1" applyAlignment="1">
      <alignment/>
    </xf>
    <xf numFmtId="173" fontId="3" fillId="0" borderId="2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2" fillId="2" borderId="42" xfId="0" applyNumberFormat="1" applyFont="1" applyFill="1" applyBorder="1" applyAlignment="1">
      <alignment/>
    </xf>
    <xf numFmtId="173" fontId="3" fillId="0" borderId="19" xfId="0" applyNumberFormat="1" applyFont="1" applyBorder="1" applyAlignment="1">
      <alignment horizontal="left" indent="1"/>
    </xf>
    <xf numFmtId="173" fontId="18" fillId="0" borderId="19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3" fontId="12" fillId="2" borderId="41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2" fontId="12" fillId="2" borderId="7" xfId="0" applyNumberFormat="1" applyFont="1" applyFill="1" applyBorder="1" applyAlignment="1">
      <alignment/>
    </xf>
    <xf numFmtId="176" fontId="12" fillId="2" borderId="7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2" fillId="2" borderId="48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176" fontId="12" fillId="2" borderId="35" xfId="0" applyNumberFormat="1" applyFont="1" applyFill="1" applyBorder="1" applyAlignment="1">
      <alignment/>
    </xf>
    <xf numFmtId="173" fontId="20" fillId="0" borderId="0" xfId="0" applyNumberFormat="1" applyFont="1" applyAlignment="1">
      <alignment/>
    </xf>
    <xf numFmtId="0" fontId="17" fillId="0" borderId="0" xfId="0" applyFont="1" applyAlignment="1">
      <alignment/>
    </xf>
    <xf numFmtId="176" fontId="21" fillId="0" borderId="44" xfId="0" applyNumberFormat="1" applyFont="1" applyBorder="1" applyAlignment="1">
      <alignment/>
    </xf>
    <xf numFmtId="173" fontId="12" fillId="0" borderId="16" xfId="0" applyNumberFormat="1" applyFont="1" applyBorder="1" applyAlignment="1">
      <alignment/>
    </xf>
    <xf numFmtId="173" fontId="3" fillId="0" borderId="61" xfId="0" applyNumberFormat="1" applyFont="1" applyBorder="1" applyAlignment="1">
      <alignment horizontal="center"/>
    </xf>
    <xf numFmtId="176" fontId="21" fillId="0" borderId="41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51" xfId="0" applyNumberFormat="1" applyFont="1" applyBorder="1" applyAlignment="1">
      <alignment/>
    </xf>
    <xf numFmtId="176" fontId="12" fillId="2" borderId="12" xfId="0" applyNumberFormat="1" applyFont="1" applyFill="1" applyBorder="1" applyAlignment="1">
      <alignment/>
    </xf>
    <xf numFmtId="176" fontId="12" fillId="2" borderId="41" xfId="0" applyNumberFormat="1" applyFont="1" applyFill="1" applyBorder="1" applyAlignment="1">
      <alignment/>
    </xf>
    <xf numFmtId="176" fontId="12" fillId="2" borderId="10" xfId="0" applyNumberFormat="1" applyFont="1" applyFill="1" applyBorder="1" applyAlignment="1">
      <alignment/>
    </xf>
    <xf numFmtId="176" fontId="3" fillId="0" borderId="65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43" fontId="3" fillId="0" borderId="40" xfId="0" applyNumberFormat="1" applyFont="1" applyBorder="1" applyAlignment="1">
      <alignment/>
    </xf>
    <xf numFmtId="43" fontId="3" fillId="0" borderId="42" xfId="0" applyNumberFormat="1" applyFont="1" applyBorder="1" applyAlignment="1">
      <alignment/>
    </xf>
    <xf numFmtId="43" fontId="3" fillId="0" borderId="41" xfId="0" applyNumberFormat="1" applyFont="1" applyBorder="1" applyAlignment="1">
      <alignment/>
    </xf>
    <xf numFmtId="43" fontId="3" fillId="0" borderId="18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0" fillId="0" borderId="9" xfId="0" applyNumberFormat="1" applyBorder="1" applyAlignment="1">
      <alignment/>
    </xf>
    <xf numFmtId="43" fontId="3" fillId="0" borderId="17" xfId="0" applyNumberFormat="1" applyFont="1" applyBorder="1" applyAlignment="1">
      <alignment/>
    </xf>
    <xf numFmtId="43" fontId="3" fillId="0" borderId="15" xfId="0" applyNumberFormat="1" applyFont="1" applyBorder="1" applyAlignment="1">
      <alignment/>
    </xf>
    <xf numFmtId="43" fontId="3" fillId="0" borderId="23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  <xf numFmtId="43" fontId="0" fillId="0" borderId="22" xfId="0" applyNumberFormat="1" applyBorder="1" applyAlignment="1">
      <alignment/>
    </xf>
    <xf numFmtId="43" fontId="3" fillId="0" borderId="43" xfId="0" applyNumberFormat="1" applyFont="1" applyBorder="1" applyAlignment="1">
      <alignment/>
    </xf>
    <xf numFmtId="43" fontId="0" fillId="0" borderId="17" xfId="0" applyNumberFormat="1" applyBorder="1" applyAlignment="1">
      <alignment/>
    </xf>
    <xf numFmtId="43" fontId="0" fillId="0" borderId="41" xfId="0" applyNumberFormat="1" applyBorder="1" applyAlignment="1">
      <alignment/>
    </xf>
    <xf numFmtId="43" fontId="3" fillId="0" borderId="44" xfId="0" applyNumberFormat="1" applyFont="1" applyBorder="1" applyAlignment="1">
      <alignment/>
    </xf>
    <xf numFmtId="43" fontId="3" fillId="0" borderId="48" xfId="0" applyNumberFormat="1" applyFont="1" applyBorder="1" applyAlignment="1">
      <alignment/>
    </xf>
    <xf numFmtId="43" fontId="3" fillId="0" borderId="46" xfId="0" applyNumberFormat="1" applyFont="1" applyBorder="1" applyAlignment="1">
      <alignment/>
    </xf>
    <xf numFmtId="43" fontId="3" fillId="0" borderId="34" xfId="0" applyNumberFormat="1" applyFont="1" applyBorder="1" applyAlignment="1">
      <alignment/>
    </xf>
    <xf numFmtId="43" fontId="0" fillId="0" borderId="36" xfId="0" applyNumberFormat="1" applyBorder="1" applyAlignment="1">
      <alignment/>
    </xf>
    <xf numFmtId="43" fontId="3" fillId="0" borderId="50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12" fillId="2" borderId="36" xfId="0" applyNumberFormat="1" applyFont="1" applyFill="1" applyBorder="1" applyAlignment="1">
      <alignment/>
    </xf>
    <xf numFmtId="176" fontId="12" fillId="2" borderId="47" xfId="0" applyNumberFormat="1" applyFont="1" applyFill="1" applyBorder="1" applyAlignment="1">
      <alignment/>
    </xf>
    <xf numFmtId="176" fontId="18" fillId="0" borderId="32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6" xfId="0" applyNumberFormat="1" applyFont="1" applyBorder="1" applyAlignment="1">
      <alignment/>
    </xf>
    <xf numFmtId="4" fontId="3" fillId="0" borderId="31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12" fillId="2" borderId="3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63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12" fillId="2" borderId="18" xfId="0" applyNumberFormat="1" applyFont="1" applyFill="1" applyBorder="1" applyAlignment="1">
      <alignment/>
    </xf>
    <xf numFmtId="4" fontId="3" fillId="0" borderId="47" xfId="0" applyNumberFormat="1" applyFont="1" applyBorder="1" applyAlignment="1">
      <alignment/>
    </xf>
    <xf numFmtId="4" fontId="4" fillId="0" borderId="59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4" fillId="0" borderId="55" xfId="0" applyNumberFormat="1" applyFont="1" applyFill="1" applyBorder="1" applyAlignment="1">
      <alignment/>
    </xf>
    <xf numFmtId="173" fontId="4" fillId="0" borderId="58" xfId="0" applyNumberFormat="1" applyFont="1" applyFill="1" applyBorder="1" applyAlignment="1">
      <alignment/>
    </xf>
    <xf numFmtId="173" fontId="4" fillId="0" borderId="59" xfId="0" applyNumberFormat="1" applyFont="1" applyFill="1" applyBorder="1" applyAlignment="1">
      <alignment/>
    </xf>
    <xf numFmtId="173" fontId="4" fillId="2" borderId="59" xfId="0" applyNumberFormat="1" applyFont="1" applyFill="1" applyBorder="1" applyAlignment="1">
      <alignment/>
    </xf>
    <xf numFmtId="173" fontId="4" fillId="2" borderId="58" xfId="0" applyNumberFormat="1" applyFont="1" applyFill="1" applyBorder="1" applyAlignment="1">
      <alignment/>
    </xf>
    <xf numFmtId="173" fontId="4" fillId="2" borderId="57" xfId="0" applyNumberFormat="1" applyFont="1" applyFill="1" applyBorder="1" applyAlignment="1">
      <alignment/>
    </xf>
    <xf numFmtId="173" fontId="12" fillId="0" borderId="23" xfId="0" applyNumberFormat="1" applyFont="1" applyBorder="1" applyAlignment="1">
      <alignment/>
    </xf>
    <xf numFmtId="0" fontId="3" fillId="0" borderId="70" xfId="0" applyFont="1" applyBorder="1" applyAlignment="1">
      <alignment/>
    </xf>
    <xf numFmtId="0" fontId="1" fillId="0" borderId="0" xfId="0" applyFont="1" applyAlignment="1">
      <alignment/>
    </xf>
    <xf numFmtId="0" fontId="3" fillId="0" borderId="44" xfId="0" applyFont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65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4" xfId="0" applyFon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9" xfId="0" applyNumberForma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73" fontId="3" fillId="0" borderId="52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173" fontId="12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48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3" fontId="12" fillId="2" borderId="32" xfId="0" applyNumberFormat="1" applyFont="1" applyFill="1" applyBorder="1" applyAlignment="1">
      <alignment/>
    </xf>
    <xf numFmtId="173" fontId="12" fillId="2" borderId="38" xfId="0" applyNumberFormat="1" applyFont="1" applyFill="1" applyBorder="1" applyAlignment="1">
      <alignment/>
    </xf>
    <xf numFmtId="173" fontId="12" fillId="2" borderId="36" xfId="0" applyNumberFormat="1" applyFont="1" applyFill="1" applyBorder="1" applyAlignment="1">
      <alignment/>
    </xf>
    <xf numFmtId="173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173" fontId="12" fillId="2" borderId="40" xfId="0" applyNumberFormat="1" applyFont="1" applyFill="1" applyBorder="1" applyAlignment="1">
      <alignment/>
    </xf>
    <xf numFmtId="173" fontId="12" fillId="2" borderId="19" xfId="0" applyNumberFormat="1" applyFont="1" applyFill="1" applyBorder="1" applyAlignment="1">
      <alignment/>
    </xf>
    <xf numFmtId="173" fontId="12" fillId="2" borderId="30" xfId="0" applyNumberFormat="1" applyFont="1" applyFill="1" applyBorder="1" applyAlignment="1">
      <alignment/>
    </xf>
    <xf numFmtId="173" fontId="12" fillId="2" borderId="31" xfId="0" applyNumberFormat="1" applyFont="1" applyFill="1" applyBorder="1" applyAlignment="1">
      <alignment/>
    </xf>
    <xf numFmtId="173" fontId="12" fillId="2" borderId="18" xfId="0" applyNumberFormat="1" applyFont="1" applyFill="1" applyBorder="1" applyAlignment="1">
      <alignment/>
    </xf>
    <xf numFmtId="173" fontId="12" fillId="2" borderId="33" xfId="0" applyNumberFormat="1" applyFont="1" applyFill="1" applyBorder="1" applyAlignment="1">
      <alignment/>
    </xf>
    <xf numFmtId="2" fontId="4" fillId="0" borderId="58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6" fontId="4" fillId="2" borderId="59" xfId="0" applyNumberFormat="1" applyFont="1" applyFill="1" applyBorder="1" applyAlignment="1">
      <alignment/>
    </xf>
    <xf numFmtId="176" fontId="4" fillId="2" borderId="58" xfId="0" applyNumberFormat="1" applyFont="1" applyFill="1" applyBorder="1" applyAlignment="1">
      <alignment/>
    </xf>
    <xf numFmtId="176" fontId="4" fillId="2" borderId="55" xfId="0" applyNumberFormat="1" applyFont="1" applyFill="1" applyBorder="1" applyAlignment="1">
      <alignment/>
    </xf>
    <xf numFmtId="173" fontId="14" fillId="2" borderId="57" xfId="0" applyNumberFormat="1" applyFont="1" applyFill="1" applyBorder="1" applyAlignment="1">
      <alignment/>
    </xf>
    <xf numFmtId="173" fontId="4" fillId="2" borderId="55" xfId="0" applyNumberFormat="1" applyFont="1" applyFill="1" applyBorder="1" applyAlignment="1">
      <alignment/>
    </xf>
    <xf numFmtId="173" fontId="14" fillId="2" borderId="71" xfId="0" applyNumberFormat="1" applyFont="1" applyFill="1" applyBorder="1" applyAlignment="1">
      <alignment/>
    </xf>
    <xf numFmtId="2" fontId="4" fillId="2" borderId="55" xfId="0" applyNumberFormat="1" applyFont="1" applyFill="1" applyBorder="1" applyAlignment="1">
      <alignment/>
    </xf>
    <xf numFmtId="173" fontId="14" fillId="2" borderId="56" xfId="0" applyNumberFormat="1" applyFont="1" applyFill="1" applyBorder="1" applyAlignment="1">
      <alignment/>
    </xf>
    <xf numFmtId="173" fontId="4" fillId="2" borderId="30" xfId="0" applyNumberFormat="1" applyFont="1" applyFill="1" applyBorder="1" applyAlignment="1">
      <alignment/>
    </xf>
    <xf numFmtId="173" fontId="14" fillId="2" borderId="32" xfId="0" applyNumberFormat="1" applyFont="1" applyFill="1" applyBorder="1" applyAlignment="1">
      <alignment/>
    </xf>
    <xf numFmtId="173" fontId="12" fillId="2" borderId="57" xfId="0" applyNumberFormat="1" applyFont="1" applyFill="1" applyBorder="1" applyAlignment="1">
      <alignment/>
    </xf>
    <xf numFmtId="2" fontId="4" fillId="2" borderId="58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49" fontId="4" fillId="2" borderId="16" xfId="0" applyNumberFormat="1" applyFont="1" applyFill="1" applyBorder="1" applyAlignment="1">
      <alignment/>
    </xf>
    <xf numFmtId="49" fontId="4" fillId="2" borderId="17" xfId="0" applyNumberFormat="1" applyFont="1" applyFill="1" applyBorder="1" applyAlignment="1">
      <alignment/>
    </xf>
    <xf numFmtId="0" fontId="3" fillId="2" borderId="31" xfId="0" applyFont="1" applyFill="1" applyBorder="1" applyAlignment="1">
      <alignment horizontal="center"/>
    </xf>
    <xf numFmtId="176" fontId="3" fillId="2" borderId="23" xfId="0" applyNumberFormat="1" applyFont="1" applyFill="1" applyBorder="1" applyAlignment="1">
      <alignment/>
    </xf>
    <xf numFmtId="176" fontId="3" fillId="2" borderId="0" xfId="0" applyNumberFormat="1" applyFont="1" applyFill="1" applyAlignment="1">
      <alignment/>
    </xf>
    <xf numFmtId="2" fontId="4" fillId="2" borderId="59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  <xf numFmtId="49" fontId="23" fillId="0" borderId="19" xfId="0" applyNumberFormat="1" applyFont="1" applyBorder="1" applyAlignment="1">
      <alignment/>
    </xf>
    <xf numFmtId="49" fontId="23" fillId="0" borderId="16" xfId="0" applyNumberFormat="1" applyFont="1" applyBorder="1" applyAlignment="1">
      <alignment/>
    </xf>
    <xf numFmtId="49" fontId="23" fillId="0" borderId="18" xfId="0" applyNumberFormat="1" applyFont="1" applyBorder="1" applyAlignment="1">
      <alignment/>
    </xf>
    <xf numFmtId="173" fontId="19" fillId="2" borderId="33" xfId="0" applyNumberFormat="1" applyFont="1" applyFill="1" applyBorder="1" applyAlignment="1">
      <alignment/>
    </xf>
    <xf numFmtId="173" fontId="3" fillId="0" borderId="65" xfId="0" applyNumberFormat="1" applyFont="1" applyFill="1" applyBorder="1" applyAlignment="1">
      <alignment horizontal="justify"/>
    </xf>
    <xf numFmtId="173" fontId="3" fillId="0" borderId="66" xfId="0" applyNumberFormat="1" applyFont="1" applyFill="1" applyBorder="1" applyAlignment="1">
      <alignment/>
    </xf>
    <xf numFmtId="179" fontId="21" fillId="0" borderId="30" xfId="0" applyNumberFormat="1" applyFont="1" applyBorder="1" applyAlignment="1">
      <alignment/>
    </xf>
    <xf numFmtId="0" fontId="2" fillId="0" borderId="2" xfId="0" applyFont="1" applyBorder="1" applyAlignment="1">
      <alignment/>
    </xf>
    <xf numFmtId="180" fontId="4" fillId="2" borderId="58" xfId="0" applyNumberFormat="1" applyFont="1" applyFill="1" applyBorder="1" applyAlignment="1">
      <alignment/>
    </xf>
    <xf numFmtId="173" fontId="3" fillId="0" borderId="73" xfId="0" applyNumberFormat="1" applyFont="1" applyBorder="1" applyAlignment="1">
      <alignment horizontal="center"/>
    </xf>
    <xf numFmtId="173" fontId="3" fillId="0" borderId="6" xfId="0" applyNumberFormat="1" applyFont="1" applyBorder="1" applyAlignment="1">
      <alignment horizontal="center"/>
    </xf>
    <xf numFmtId="173" fontId="3" fillId="0" borderId="55" xfId="0" applyNumberFormat="1" applyFont="1" applyBorder="1" applyAlignment="1">
      <alignment/>
    </xf>
    <xf numFmtId="173" fontId="12" fillId="2" borderId="62" xfId="0" applyNumberFormat="1" applyFont="1" applyFill="1" applyBorder="1" applyAlignment="1">
      <alignment/>
    </xf>
    <xf numFmtId="2" fontId="12" fillId="2" borderId="30" xfId="0" applyNumberFormat="1" applyFont="1" applyFill="1" applyBorder="1" applyAlignment="1">
      <alignment/>
    </xf>
    <xf numFmtId="2" fontId="12" fillId="2" borderId="62" xfId="0" applyNumberFormat="1" applyFont="1" applyFill="1" applyBorder="1" applyAlignment="1">
      <alignment/>
    </xf>
    <xf numFmtId="173" fontId="12" fillId="2" borderId="74" xfId="0" applyNumberFormat="1" applyFont="1" applyFill="1" applyBorder="1" applyAlignment="1">
      <alignment/>
    </xf>
    <xf numFmtId="2" fontId="12" fillId="2" borderId="74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73" fontId="14" fillId="0" borderId="29" xfId="0" applyNumberFormat="1" applyFont="1" applyFill="1" applyBorder="1" applyAlignment="1">
      <alignment/>
    </xf>
    <xf numFmtId="49" fontId="4" fillId="2" borderId="28" xfId="0" applyNumberFormat="1" applyFont="1" applyFill="1" applyBorder="1" applyAlignment="1">
      <alignment horizontal="center"/>
    </xf>
    <xf numFmtId="173" fontId="18" fillId="0" borderId="21" xfId="0" applyNumberFormat="1" applyFont="1" applyBorder="1" applyAlignment="1">
      <alignment/>
    </xf>
    <xf numFmtId="173" fontId="18" fillId="0" borderId="35" xfId="0" applyNumberFormat="1" applyFont="1" applyBorder="1" applyAlignment="1">
      <alignment/>
    </xf>
    <xf numFmtId="173" fontId="12" fillId="2" borderId="63" xfId="0" applyNumberFormat="1" applyFont="1" applyFill="1" applyBorder="1" applyAlignment="1">
      <alignment/>
    </xf>
    <xf numFmtId="173" fontId="24" fillId="0" borderId="1" xfId="0" applyNumberFormat="1" applyFont="1" applyBorder="1" applyAlignment="1">
      <alignment/>
    </xf>
    <xf numFmtId="173" fontId="25" fillId="0" borderId="2" xfId="0" applyNumberFormat="1" applyFont="1" applyBorder="1" applyAlignment="1">
      <alignment/>
    </xf>
    <xf numFmtId="173" fontId="14" fillId="2" borderId="60" xfId="0" applyNumberFormat="1" applyFont="1" applyFill="1" applyBorder="1" applyAlignment="1">
      <alignment/>
    </xf>
    <xf numFmtId="173" fontId="12" fillId="2" borderId="0" xfId="0" applyNumberFormat="1" applyFont="1" applyFill="1" applyBorder="1" applyAlignment="1">
      <alignment/>
    </xf>
    <xf numFmtId="173" fontId="25" fillId="0" borderId="3" xfId="0" applyNumberFormat="1" applyFont="1" applyBorder="1" applyAlignment="1">
      <alignment/>
    </xf>
    <xf numFmtId="173" fontId="25" fillId="0" borderId="3" xfId="0" applyNumberFormat="1" applyFont="1" applyBorder="1" applyAlignment="1">
      <alignment horizontal="center"/>
    </xf>
    <xf numFmtId="173" fontId="25" fillId="0" borderId="4" xfId="0" applyNumberFormat="1" applyFont="1" applyBorder="1" applyAlignment="1">
      <alignment horizontal="center"/>
    </xf>
    <xf numFmtId="173" fontId="25" fillId="0" borderId="4" xfId="0" applyNumberFormat="1" applyFont="1" applyBorder="1" applyAlignment="1">
      <alignment/>
    </xf>
    <xf numFmtId="0" fontId="25" fillId="0" borderId="2" xfId="0" applyNumberFormat="1" applyFont="1" applyBorder="1" applyAlignment="1">
      <alignment/>
    </xf>
    <xf numFmtId="0" fontId="25" fillId="0" borderId="3" xfId="0" applyNumberFormat="1" applyFont="1" applyBorder="1" applyAlignment="1">
      <alignment/>
    </xf>
    <xf numFmtId="0" fontId="25" fillId="0" borderId="4" xfId="0" applyNumberFormat="1" applyFont="1" applyBorder="1" applyAlignment="1">
      <alignment/>
    </xf>
    <xf numFmtId="0" fontId="24" fillId="0" borderId="2" xfId="0" applyFont="1" applyBorder="1" applyAlignment="1">
      <alignment/>
    </xf>
    <xf numFmtId="0" fontId="25" fillId="0" borderId="2" xfId="0" applyFont="1" applyBorder="1" applyAlignment="1">
      <alignment/>
    </xf>
    <xf numFmtId="173" fontId="24" fillId="0" borderId="13" xfId="0" applyNumberFormat="1" applyFont="1" applyBorder="1" applyAlignment="1">
      <alignment/>
    </xf>
    <xf numFmtId="173" fontId="24" fillId="0" borderId="14" xfId="0" applyNumberFormat="1" applyFont="1" applyBorder="1" applyAlignment="1">
      <alignment/>
    </xf>
    <xf numFmtId="173" fontId="25" fillId="0" borderId="27" xfId="0" applyNumberFormat="1" applyFont="1" applyBorder="1" applyAlignment="1">
      <alignment/>
    </xf>
    <xf numFmtId="173" fontId="25" fillId="0" borderId="29" xfId="0" applyNumberFormat="1" applyFont="1" applyBorder="1" applyAlignment="1">
      <alignment/>
    </xf>
    <xf numFmtId="1" fontId="25" fillId="0" borderId="28" xfId="0" applyNumberFormat="1" applyFont="1" applyBorder="1" applyAlignment="1">
      <alignment/>
    </xf>
    <xf numFmtId="173" fontId="24" fillId="0" borderId="16" xfId="0" applyNumberFormat="1" applyFont="1" applyBorder="1" applyAlignment="1">
      <alignment/>
    </xf>
    <xf numFmtId="173" fontId="25" fillId="0" borderId="16" xfId="0" applyNumberFormat="1" applyFont="1" applyBorder="1" applyAlignment="1">
      <alignment/>
    </xf>
    <xf numFmtId="173" fontId="25" fillId="0" borderId="15" xfId="0" applyNumberFormat="1" applyFont="1" applyBorder="1" applyAlignment="1">
      <alignment/>
    </xf>
    <xf numFmtId="173" fontId="25" fillId="0" borderId="17" xfId="0" applyNumberFormat="1" applyFont="1" applyBorder="1" applyAlignment="1">
      <alignment/>
    </xf>
    <xf numFmtId="0" fontId="25" fillId="0" borderId="28" xfId="0" applyFont="1" applyBorder="1" applyAlignment="1">
      <alignment/>
    </xf>
    <xf numFmtId="49" fontId="25" fillId="0" borderId="29" xfId="0" applyNumberFormat="1" applyFont="1" applyBorder="1" applyAlignment="1">
      <alignment/>
    </xf>
    <xf numFmtId="49" fontId="25" fillId="0" borderId="15" xfId="0" applyNumberFormat="1" applyFont="1" applyBorder="1" applyAlignment="1">
      <alignment/>
    </xf>
    <xf numFmtId="49" fontId="25" fillId="0" borderId="16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49" fontId="25" fillId="0" borderId="15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3" fontId="24" fillId="0" borderId="26" xfId="0" applyNumberFormat="1" applyFont="1" applyBorder="1" applyAlignment="1">
      <alignment/>
    </xf>
    <xf numFmtId="173" fontId="24" fillId="0" borderId="27" xfId="0" applyNumberFormat="1" applyFont="1" applyBorder="1" applyAlignment="1">
      <alignment/>
    </xf>
    <xf numFmtId="173" fontId="24" fillId="0" borderId="55" xfId="0" applyNumberFormat="1" applyFont="1" applyBorder="1" applyAlignment="1">
      <alignment horizontal="center"/>
    </xf>
    <xf numFmtId="173" fontId="24" fillId="0" borderId="59" xfId="0" applyNumberFormat="1" applyFont="1" applyBorder="1" applyAlignment="1">
      <alignment horizontal="center"/>
    </xf>
    <xf numFmtId="173" fontId="24" fillId="0" borderId="58" xfId="0" applyNumberFormat="1" applyFont="1" applyBorder="1" applyAlignment="1">
      <alignment horizontal="center"/>
    </xf>
    <xf numFmtId="173" fontId="24" fillId="0" borderId="57" xfId="0" applyNumberFormat="1" applyFont="1" applyBorder="1" applyAlignment="1">
      <alignment horizontal="center"/>
    </xf>
    <xf numFmtId="173" fontId="24" fillId="0" borderId="33" xfId="0" applyNumberFormat="1" applyFont="1" applyBorder="1" applyAlignment="1">
      <alignment horizontal="center"/>
    </xf>
    <xf numFmtId="173" fontId="24" fillId="0" borderId="31" xfId="0" applyNumberFormat="1" applyFont="1" applyBorder="1" applyAlignment="1">
      <alignment horizontal="center"/>
    </xf>
    <xf numFmtId="173" fontId="24" fillId="0" borderId="30" xfId="0" applyNumberFormat="1" applyFont="1" applyBorder="1" applyAlignment="1">
      <alignment horizontal="center"/>
    </xf>
    <xf numFmtId="173" fontId="24" fillId="0" borderId="32" xfId="0" applyNumberFormat="1" applyFont="1" applyBorder="1" applyAlignment="1">
      <alignment horizontal="center"/>
    </xf>
    <xf numFmtId="173" fontId="24" fillId="0" borderId="35" xfId="0" applyNumberFormat="1" applyFont="1" applyBorder="1" applyAlignment="1">
      <alignment horizontal="center"/>
    </xf>
    <xf numFmtId="173" fontId="24" fillId="0" borderId="38" xfId="0" applyNumberFormat="1" applyFont="1" applyBorder="1" applyAlignment="1">
      <alignment horizontal="center"/>
    </xf>
    <xf numFmtId="173" fontId="24" fillId="0" borderId="74" xfId="0" applyNumberFormat="1" applyFont="1" applyBorder="1" applyAlignment="1">
      <alignment horizontal="center"/>
    </xf>
    <xf numFmtId="173" fontId="24" fillId="0" borderId="63" xfId="0" applyNumberFormat="1" applyFont="1" applyBorder="1" applyAlignment="1">
      <alignment horizontal="center"/>
    </xf>
    <xf numFmtId="173" fontId="24" fillId="0" borderId="51" xfId="0" applyNumberFormat="1" applyFont="1" applyBorder="1" applyAlignment="1">
      <alignment horizontal="center"/>
    </xf>
    <xf numFmtId="173" fontId="24" fillId="0" borderId="62" xfId="0" applyNumberFormat="1" applyFont="1" applyBorder="1" applyAlignment="1">
      <alignment horizontal="center"/>
    </xf>
    <xf numFmtId="173" fontId="24" fillId="0" borderId="46" xfId="0" applyNumberFormat="1" applyFont="1" applyBorder="1" applyAlignment="1">
      <alignment horizontal="center"/>
    </xf>
    <xf numFmtId="173" fontId="24" fillId="0" borderId="48" xfId="0" applyNumberFormat="1" applyFont="1" applyBorder="1" applyAlignment="1">
      <alignment horizontal="center"/>
    </xf>
    <xf numFmtId="173" fontId="24" fillId="0" borderId="49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left"/>
    </xf>
    <xf numFmtId="173" fontId="24" fillId="0" borderId="75" xfId="0" applyNumberFormat="1" applyFont="1" applyFill="1" applyBorder="1" applyAlignment="1">
      <alignment/>
    </xf>
    <xf numFmtId="173" fontId="24" fillId="0" borderId="40" xfId="0" applyNumberFormat="1" applyFont="1" applyBorder="1" applyAlignment="1">
      <alignment/>
    </xf>
    <xf numFmtId="173" fontId="24" fillId="0" borderId="18" xfId="0" applyNumberFormat="1" applyFont="1" applyBorder="1" applyAlignment="1">
      <alignment/>
    </xf>
    <xf numFmtId="173" fontId="24" fillId="0" borderId="41" xfId="0" applyNumberFormat="1" applyFont="1" applyBorder="1" applyAlignment="1">
      <alignment/>
    </xf>
    <xf numFmtId="173" fontId="24" fillId="0" borderId="10" xfId="0" applyNumberFormat="1" applyFont="1" applyBorder="1" applyAlignment="1">
      <alignment/>
    </xf>
    <xf numFmtId="173" fontId="24" fillId="0" borderId="7" xfId="0" applyNumberFormat="1" applyFont="1" applyBorder="1" applyAlignment="1">
      <alignment/>
    </xf>
    <xf numFmtId="173" fontId="26" fillId="0" borderId="19" xfId="0" applyNumberFormat="1" applyFont="1" applyBorder="1" applyAlignment="1">
      <alignment/>
    </xf>
    <xf numFmtId="173" fontId="24" fillId="0" borderId="9" xfId="0" applyNumberFormat="1" applyFont="1" applyBorder="1" applyAlignment="1">
      <alignment/>
    </xf>
    <xf numFmtId="173" fontId="24" fillId="0" borderId="42" xfId="0" applyNumberFormat="1" applyFont="1" applyBorder="1" applyAlignment="1">
      <alignment/>
    </xf>
    <xf numFmtId="173" fontId="24" fillId="0" borderId="64" xfId="0" applyNumberFormat="1" applyFont="1" applyBorder="1" applyAlignment="1">
      <alignment/>
    </xf>
    <xf numFmtId="173" fontId="24" fillId="0" borderId="22" xfId="0" applyNumberFormat="1" applyFont="1" applyBorder="1" applyAlignment="1">
      <alignment/>
    </xf>
    <xf numFmtId="173" fontId="26" fillId="0" borderId="41" xfId="0" applyNumberFormat="1" applyFont="1" applyBorder="1" applyAlignment="1">
      <alignment/>
    </xf>
    <xf numFmtId="173" fontId="24" fillId="0" borderId="19" xfId="0" applyNumberFormat="1" applyFont="1" applyBorder="1" applyAlignment="1">
      <alignment/>
    </xf>
    <xf numFmtId="173" fontId="24" fillId="0" borderId="8" xfId="0" applyNumberFormat="1" applyFont="1" applyBorder="1" applyAlignment="1">
      <alignment/>
    </xf>
    <xf numFmtId="173" fontId="24" fillId="0" borderId="24" xfId="0" applyNumberFormat="1" applyFont="1" applyBorder="1" applyAlignment="1">
      <alignment/>
    </xf>
    <xf numFmtId="173" fontId="26" fillId="0" borderId="76" xfId="0" applyNumberFormat="1" applyFont="1" applyBorder="1" applyAlignment="1">
      <alignment/>
    </xf>
    <xf numFmtId="0" fontId="24" fillId="0" borderId="21" xfId="0" applyFont="1" applyBorder="1" applyAlignment="1">
      <alignment/>
    </xf>
    <xf numFmtId="173" fontId="24" fillId="0" borderId="5" xfId="0" applyNumberFormat="1" applyFont="1" applyBorder="1" applyAlignment="1">
      <alignment/>
    </xf>
    <xf numFmtId="173" fontId="24" fillId="0" borderId="66" xfId="0" applyNumberFormat="1" applyFont="1" applyFill="1" applyBorder="1" applyAlignment="1">
      <alignment/>
    </xf>
    <xf numFmtId="173" fontId="24" fillId="0" borderId="23" xfId="0" applyNumberFormat="1" applyFont="1" applyBorder="1" applyAlignment="1">
      <alignment/>
    </xf>
    <xf numFmtId="173" fontId="24" fillId="0" borderId="21" xfId="0" applyNumberFormat="1" applyFont="1" applyBorder="1" applyAlignment="1">
      <alignment/>
    </xf>
    <xf numFmtId="173" fontId="26" fillId="0" borderId="22" xfId="0" applyNumberFormat="1" applyFont="1" applyBorder="1" applyAlignment="1">
      <alignment/>
    </xf>
    <xf numFmtId="173" fontId="24" fillId="0" borderId="25" xfId="0" applyNumberFormat="1" applyFont="1" applyBorder="1" applyAlignment="1">
      <alignment/>
    </xf>
    <xf numFmtId="173" fontId="27" fillId="0" borderId="66" xfId="0" applyNumberFormat="1" applyFont="1" applyFill="1" applyBorder="1" applyAlignment="1">
      <alignment/>
    </xf>
    <xf numFmtId="173" fontId="24" fillId="0" borderId="20" xfId="0" applyNumberFormat="1" applyFont="1" applyBorder="1" applyAlignment="1">
      <alignment/>
    </xf>
    <xf numFmtId="173" fontId="24" fillId="2" borderId="66" xfId="0" applyNumberFormat="1" applyFont="1" applyFill="1" applyBorder="1" applyAlignment="1">
      <alignment/>
    </xf>
    <xf numFmtId="173" fontId="27" fillId="0" borderId="67" xfId="0" applyNumberFormat="1" applyFont="1" applyFill="1" applyBorder="1" applyAlignment="1">
      <alignment/>
    </xf>
    <xf numFmtId="173" fontId="24" fillId="0" borderId="30" xfId="0" applyNumberFormat="1" applyFont="1" applyBorder="1" applyAlignment="1">
      <alignment/>
    </xf>
    <xf numFmtId="173" fontId="24" fillId="0" borderId="33" xfId="0" applyNumberFormat="1" applyFont="1" applyBorder="1" applyAlignment="1">
      <alignment/>
    </xf>
    <xf numFmtId="173" fontId="24" fillId="0" borderId="32" xfId="0" applyNumberFormat="1" applyFont="1" applyBorder="1" applyAlignment="1">
      <alignment/>
    </xf>
    <xf numFmtId="173" fontId="24" fillId="0" borderId="74" xfId="0" applyNumberFormat="1" applyFont="1" applyBorder="1" applyAlignment="1">
      <alignment/>
    </xf>
    <xf numFmtId="173" fontId="24" fillId="0" borderId="46" xfId="0" applyNumberFormat="1" applyFont="1" applyBorder="1" applyAlignment="1">
      <alignment/>
    </xf>
    <xf numFmtId="173" fontId="24" fillId="0" borderId="62" xfId="0" applyNumberFormat="1" applyFont="1" applyBorder="1" applyAlignment="1">
      <alignment/>
    </xf>
    <xf numFmtId="173" fontId="26" fillId="0" borderId="51" xfId="0" applyNumberFormat="1" applyFont="1" applyBorder="1" applyAlignment="1">
      <alignment/>
    </xf>
    <xf numFmtId="173" fontId="24" fillId="0" borderId="36" xfId="0" applyNumberFormat="1" applyFont="1" applyBorder="1" applyAlignment="1">
      <alignment/>
    </xf>
    <xf numFmtId="173" fontId="24" fillId="0" borderId="44" xfId="0" applyNumberFormat="1" applyFont="1" applyBorder="1" applyAlignment="1">
      <alignment/>
    </xf>
    <xf numFmtId="173" fontId="24" fillId="0" borderId="48" xfId="0" applyNumberFormat="1" applyFont="1" applyBorder="1" applyAlignment="1">
      <alignment/>
    </xf>
    <xf numFmtId="173" fontId="24" fillId="0" borderId="49" xfId="0" applyNumberFormat="1" applyFont="1" applyBorder="1" applyAlignment="1">
      <alignment/>
    </xf>
    <xf numFmtId="173" fontId="24" fillId="0" borderId="63" xfId="0" applyNumberFormat="1" applyFont="1" applyBorder="1" applyAlignment="1">
      <alignment/>
    </xf>
    <xf numFmtId="173" fontId="24" fillId="0" borderId="34" xfId="0" applyNumberFormat="1" applyFont="1" applyBorder="1" applyAlignment="1">
      <alignment/>
    </xf>
    <xf numFmtId="173" fontId="24" fillId="0" borderId="35" xfId="0" applyNumberFormat="1" applyFont="1" applyBorder="1" applyAlignment="1">
      <alignment/>
    </xf>
    <xf numFmtId="173" fontId="26" fillId="0" borderId="36" xfId="0" applyNumberFormat="1" applyFont="1" applyBorder="1" applyAlignment="1">
      <alignment/>
    </xf>
    <xf numFmtId="173" fontId="24" fillId="0" borderId="77" xfId="0" applyNumberFormat="1" applyFont="1" applyBorder="1" applyAlignment="1">
      <alignment/>
    </xf>
    <xf numFmtId="173" fontId="24" fillId="0" borderId="13" xfId="0" applyNumberFormat="1" applyFont="1" applyFill="1" applyBorder="1" applyAlignment="1">
      <alignment/>
    </xf>
    <xf numFmtId="173" fontId="24" fillId="0" borderId="12" xfId="0" applyNumberFormat="1" applyFont="1" applyBorder="1" applyAlignment="1">
      <alignment/>
    </xf>
    <xf numFmtId="173" fontId="24" fillId="0" borderId="11" xfId="0" applyNumberFormat="1" applyFont="1" applyBorder="1" applyAlignment="1">
      <alignment/>
    </xf>
    <xf numFmtId="173" fontId="26" fillId="0" borderId="9" xfId="0" applyNumberFormat="1" applyFont="1" applyBorder="1" applyAlignment="1">
      <alignment/>
    </xf>
    <xf numFmtId="173" fontId="27" fillId="0" borderId="41" xfId="0" applyNumberFormat="1" applyFont="1" applyBorder="1" applyAlignment="1">
      <alignment/>
    </xf>
    <xf numFmtId="173" fontId="24" fillId="0" borderId="39" xfId="0" applyNumberFormat="1" applyFont="1" applyBorder="1" applyAlignment="1">
      <alignment/>
    </xf>
    <xf numFmtId="173" fontId="24" fillId="0" borderId="65" xfId="0" applyNumberFormat="1" applyFont="1" applyBorder="1" applyAlignment="1">
      <alignment/>
    </xf>
    <xf numFmtId="173" fontId="24" fillId="0" borderId="28" xfId="0" applyNumberFormat="1" applyFont="1" applyBorder="1" applyAlignment="1">
      <alignment/>
    </xf>
    <xf numFmtId="173" fontId="26" fillId="0" borderId="67" xfId="0" applyNumberFormat="1" applyFont="1" applyBorder="1" applyAlignment="1">
      <alignment/>
    </xf>
    <xf numFmtId="173" fontId="24" fillId="2" borderId="33" xfId="0" applyNumberFormat="1" applyFont="1" applyFill="1" applyBorder="1" applyAlignment="1">
      <alignment/>
    </xf>
    <xf numFmtId="173" fontId="24" fillId="0" borderId="38" xfId="0" applyNumberFormat="1" applyFont="1" applyBorder="1" applyAlignment="1">
      <alignment/>
    </xf>
    <xf numFmtId="2" fontId="24" fillId="0" borderId="30" xfId="0" applyNumberFormat="1" applyFont="1" applyBorder="1" applyAlignment="1">
      <alignment/>
    </xf>
    <xf numFmtId="173" fontId="24" fillId="0" borderId="31" xfId="0" applyNumberFormat="1" applyFont="1" applyBorder="1" applyAlignment="1">
      <alignment/>
    </xf>
    <xf numFmtId="173" fontId="24" fillId="2" borderId="34" xfId="0" applyNumberFormat="1" applyFont="1" applyFill="1" applyBorder="1" applyAlignment="1">
      <alignment/>
    </xf>
    <xf numFmtId="173" fontId="27" fillId="0" borderId="30" xfId="0" applyNumberFormat="1" applyFont="1" applyBorder="1" applyAlignment="1">
      <alignment/>
    </xf>
    <xf numFmtId="173" fontId="27" fillId="0" borderId="33" xfId="0" applyNumberFormat="1" applyFont="1" applyBorder="1" applyAlignment="1">
      <alignment/>
    </xf>
    <xf numFmtId="173" fontId="27" fillId="0" borderId="32" xfId="0" applyNumberFormat="1" applyFont="1" applyBorder="1" applyAlignment="1">
      <alignment/>
    </xf>
    <xf numFmtId="173" fontId="27" fillId="0" borderId="44" xfId="0" applyNumberFormat="1" applyFont="1" applyBorder="1" applyAlignment="1">
      <alignment/>
    </xf>
    <xf numFmtId="173" fontId="27" fillId="0" borderId="48" xfId="0" applyNumberFormat="1" applyFont="1" applyBorder="1" applyAlignment="1">
      <alignment/>
    </xf>
    <xf numFmtId="173" fontId="27" fillId="0" borderId="49" xfId="0" applyNumberFormat="1" applyFont="1" applyBorder="1" applyAlignment="1">
      <alignment/>
    </xf>
    <xf numFmtId="173" fontId="27" fillId="3" borderId="18" xfId="0" applyNumberFormat="1" applyFont="1" applyFill="1" applyBorder="1" applyAlignment="1">
      <alignment/>
    </xf>
    <xf numFmtId="173" fontId="24" fillId="0" borderId="67" xfId="0" applyNumberFormat="1" applyFont="1" applyBorder="1" applyAlignment="1">
      <alignment/>
    </xf>
    <xf numFmtId="173" fontId="24" fillId="0" borderId="54" xfId="0" applyNumberFormat="1" applyFont="1" applyBorder="1" applyAlignment="1">
      <alignment/>
    </xf>
    <xf numFmtId="173" fontId="28" fillId="0" borderId="54" xfId="0" applyNumberFormat="1" applyFont="1" applyFill="1" applyBorder="1" applyAlignment="1">
      <alignment/>
    </xf>
    <xf numFmtId="173" fontId="28" fillId="0" borderId="30" xfId="0" applyNumberFormat="1" applyFont="1" applyBorder="1" applyAlignment="1">
      <alignment/>
    </xf>
    <xf numFmtId="173" fontId="28" fillId="0" borderId="38" xfId="0" applyNumberFormat="1" applyFont="1" applyBorder="1" applyAlignment="1">
      <alignment/>
    </xf>
    <xf numFmtId="173" fontId="29" fillId="0" borderId="38" xfId="0" applyNumberFormat="1" applyFont="1" applyBorder="1" applyAlignment="1">
      <alignment/>
    </xf>
    <xf numFmtId="173" fontId="28" fillId="0" borderId="31" xfId="0" applyNumberFormat="1" applyFont="1" applyBorder="1" applyAlignment="1">
      <alignment/>
    </xf>
    <xf numFmtId="2" fontId="28" fillId="0" borderId="55" xfId="0" applyNumberFormat="1" applyFont="1" applyBorder="1" applyAlignment="1">
      <alignment/>
    </xf>
    <xf numFmtId="173" fontId="29" fillId="0" borderId="59" xfId="0" applyNumberFormat="1" applyFont="1" applyBorder="1" applyAlignment="1">
      <alignment/>
    </xf>
    <xf numFmtId="173" fontId="28" fillId="0" borderId="59" xfId="0" applyNumberFormat="1" applyFont="1" applyBorder="1" applyAlignment="1">
      <alignment/>
    </xf>
    <xf numFmtId="173" fontId="27" fillId="0" borderId="57" xfId="0" applyNumberFormat="1" applyFont="1" applyBorder="1" applyAlignment="1">
      <alignment/>
    </xf>
    <xf numFmtId="173" fontId="28" fillId="0" borderId="55" xfId="0" applyNumberFormat="1" applyFont="1" applyBorder="1" applyAlignment="1">
      <alignment/>
    </xf>
    <xf numFmtId="173" fontId="28" fillId="2" borderId="59" xfId="0" applyNumberFormat="1" applyFont="1" applyFill="1" applyBorder="1" applyAlignment="1">
      <alignment/>
    </xf>
    <xf numFmtId="173" fontId="29" fillId="2" borderId="59" xfId="0" applyNumberFormat="1" applyFont="1" applyFill="1" applyBorder="1" applyAlignment="1">
      <alignment/>
    </xf>
    <xf numFmtId="173" fontId="28" fillId="0" borderId="58" xfId="0" applyNumberFormat="1" applyFont="1" applyBorder="1" applyAlignment="1">
      <alignment/>
    </xf>
    <xf numFmtId="173" fontId="29" fillId="0" borderId="58" xfId="0" applyNumberFormat="1" applyFont="1" applyBorder="1" applyAlignment="1">
      <alignment/>
    </xf>
    <xf numFmtId="173" fontId="28" fillId="2" borderId="33" xfId="0" applyNumberFormat="1" applyFont="1" applyFill="1" applyBorder="1" applyAlignment="1">
      <alignment/>
    </xf>
    <xf numFmtId="173" fontId="28" fillId="2" borderId="58" xfId="0" applyNumberFormat="1" applyFont="1" applyFill="1" applyBorder="1" applyAlignment="1">
      <alignment/>
    </xf>
    <xf numFmtId="173" fontId="27" fillId="0" borderId="54" xfId="0" applyNumberFormat="1" applyFont="1" applyBorder="1" applyAlignment="1">
      <alignment/>
    </xf>
    <xf numFmtId="173" fontId="27" fillId="0" borderId="58" xfId="0" applyNumberFormat="1" applyFont="1" applyBorder="1" applyAlignment="1">
      <alignment/>
    </xf>
    <xf numFmtId="173" fontId="28" fillId="0" borderId="33" xfId="0" applyNumberFormat="1" applyFont="1" applyBorder="1" applyAlignment="1">
      <alignment horizontal="right" indent="1"/>
    </xf>
    <xf numFmtId="173" fontId="3" fillId="0" borderId="20" xfId="0" applyNumberFormat="1" applyFont="1" applyBorder="1" applyAlignment="1">
      <alignment/>
    </xf>
    <xf numFmtId="210" fontId="3" fillId="0" borderId="21" xfId="0" applyNumberFormat="1" applyFont="1" applyBorder="1" applyAlignment="1">
      <alignment/>
    </xf>
    <xf numFmtId="176" fontId="21" fillId="0" borderId="20" xfId="0" applyNumberFormat="1" applyFont="1" applyBorder="1" applyAlignment="1">
      <alignment/>
    </xf>
    <xf numFmtId="0" fontId="3" fillId="2" borderId="38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173" fontId="24" fillId="0" borderId="47" xfId="0" applyNumberFormat="1" applyFont="1" applyBorder="1" applyAlignment="1">
      <alignment horizontal="center"/>
    </xf>
    <xf numFmtId="173" fontId="26" fillId="0" borderId="10" xfId="0" applyNumberFormat="1" applyFont="1" applyBorder="1" applyAlignment="1">
      <alignment/>
    </xf>
    <xf numFmtId="173" fontId="26" fillId="0" borderId="40" xfId="0" applyNumberFormat="1" applyFont="1" applyBorder="1" applyAlignment="1">
      <alignment/>
    </xf>
    <xf numFmtId="173" fontId="26" fillId="0" borderId="18" xfId="0" applyNumberFormat="1" applyFont="1" applyBorder="1" applyAlignment="1">
      <alignment/>
    </xf>
    <xf numFmtId="173" fontId="26" fillId="0" borderId="7" xfId="0" applyNumberFormat="1" applyFont="1" applyBorder="1" applyAlignment="1">
      <alignment/>
    </xf>
    <xf numFmtId="173" fontId="26" fillId="0" borderId="62" xfId="0" applyNumberFormat="1" applyFont="1" applyBorder="1" applyAlignment="1">
      <alignment/>
    </xf>
    <xf numFmtId="173" fontId="26" fillId="0" borderId="74" xfId="0" applyNumberFormat="1" applyFont="1" applyBorder="1" applyAlignment="1">
      <alignment/>
    </xf>
    <xf numFmtId="173" fontId="3" fillId="0" borderId="77" xfId="0" applyNumberFormat="1" applyFont="1" applyBorder="1" applyAlignment="1">
      <alignment/>
    </xf>
    <xf numFmtId="173" fontId="18" fillId="0" borderId="23" xfId="0" applyNumberFormat="1" applyFont="1" applyBorder="1" applyAlignment="1">
      <alignment/>
    </xf>
    <xf numFmtId="173" fontId="18" fillId="0" borderId="34" xfId="0" applyNumberFormat="1" applyFont="1" applyBorder="1" applyAlignment="1">
      <alignment/>
    </xf>
    <xf numFmtId="173" fontId="3" fillId="0" borderId="19" xfId="0" applyNumberFormat="1" applyFont="1" applyFill="1" applyBorder="1" applyAlignment="1">
      <alignment/>
    </xf>
    <xf numFmtId="173" fontId="3" fillId="0" borderId="63" xfId="0" applyNumberFormat="1" applyFont="1" applyBorder="1" applyAlignment="1">
      <alignment horizontal="center"/>
    </xf>
    <xf numFmtId="173" fontId="3" fillId="0" borderId="51" xfId="0" applyNumberFormat="1" applyFont="1" applyBorder="1" applyAlignment="1">
      <alignment horizontal="center"/>
    </xf>
    <xf numFmtId="173" fontId="3" fillId="2" borderId="22" xfId="0" applyNumberFormat="1" applyFont="1" applyFill="1" applyBorder="1" applyAlignment="1">
      <alignment/>
    </xf>
    <xf numFmtId="173" fontId="3" fillId="2" borderId="36" xfId="0" applyNumberFormat="1" applyFont="1" applyFill="1" applyBorder="1" applyAlignment="1">
      <alignment/>
    </xf>
    <xf numFmtId="173" fontId="12" fillId="0" borderId="9" xfId="0" applyNumberFormat="1" applyFont="1" applyBorder="1" applyAlignment="1">
      <alignment/>
    </xf>
    <xf numFmtId="0" fontId="24" fillId="0" borderId="8" xfId="0" applyFont="1" applyBorder="1" applyAlignment="1">
      <alignment/>
    </xf>
    <xf numFmtId="173" fontId="27" fillId="0" borderId="40" xfId="0" applyNumberFormat="1" applyFont="1" applyBorder="1" applyAlignment="1">
      <alignment/>
    </xf>
    <xf numFmtId="173" fontId="27" fillId="0" borderId="55" xfId="0" applyNumberFormat="1" applyFont="1" applyBorder="1" applyAlignment="1">
      <alignment/>
    </xf>
    <xf numFmtId="49" fontId="25" fillId="0" borderId="27" xfId="0" applyNumberFormat="1" applyFont="1" applyBorder="1" applyAlignment="1">
      <alignment wrapText="1"/>
    </xf>
    <xf numFmtId="173" fontId="3" fillId="0" borderId="59" xfId="0" applyNumberFormat="1" applyFont="1" applyBorder="1" applyAlignment="1">
      <alignment/>
    </xf>
    <xf numFmtId="173" fontId="24" fillId="0" borderId="57" xfId="0" applyNumberFormat="1" applyFont="1" applyBorder="1" applyAlignment="1">
      <alignment/>
    </xf>
    <xf numFmtId="173" fontId="12" fillId="2" borderId="28" xfId="0" applyNumberFormat="1" applyFont="1" applyFill="1" applyBorder="1" applyAlignment="1">
      <alignment/>
    </xf>
    <xf numFmtId="173" fontId="3" fillId="0" borderId="39" xfId="0" applyNumberFormat="1" applyFont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4" fillId="0" borderId="56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12" fillId="2" borderId="29" xfId="0" applyNumberFormat="1" applyFont="1" applyFill="1" applyBorder="1" applyAlignment="1">
      <alignment/>
    </xf>
    <xf numFmtId="173" fontId="4" fillId="2" borderId="32" xfId="0" applyNumberFormat="1" applyFont="1" applyFill="1" applyBorder="1" applyAlignment="1">
      <alignment/>
    </xf>
    <xf numFmtId="173" fontId="3" fillId="2" borderId="74" xfId="0" applyNumberFormat="1" applyFont="1" applyFill="1" applyBorder="1" applyAlignment="1">
      <alignment/>
    </xf>
    <xf numFmtId="173" fontId="3" fillId="2" borderId="63" xfId="0" applyNumberFormat="1" applyFont="1" applyFill="1" applyBorder="1" applyAlignment="1">
      <alignment/>
    </xf>
    <xf numFmtId="173" fontId="3" fillId="0" borderId="65" xfId="0" applyNumberFormat="1" applyFont="1" applyFill="1" applyBorder="1" applyAlignment="1">
      <alignment/>
    </xf>
    <xf numFmtId="173" fontId="3" fillId="2" borderId="9" xfId="0" applyNumberFormat="1" applyFont="1" applyFill="1" applyBorder="1" applyAlignment="1">
      <alignment/>
    </xf>
    <xf numFmtId="173" fontId="3" fillId="0" borderId="48" xfId="0" applyNumberFormat="1" applyFont="1" applyFill="1" applyBorder="1" applyAlignment="1">
      <alignment/>
    </xf>
    <xf numFmtId="173" fontId="4" fillId="0" borderId="42" xfId="0" applyNumberFormat="1" applyFont="1" applyBorder="1" applyAlignment="1">
      <alignment/>
    </xf>
    <xf numFmtId="173" fontId="4" fillId="0" borderId="21" xfId="0" applyNumberFormat="1" applyFont="1" applyBorder="1" applyAlignment="1">
      <alignment/>
    </xf>
    <xf numFmtId="173" fontId="4" fillId="0" borderId="28" xfId="0" applyNumberFormat="1" applyFont="1" applyBorder="1" applyAlignment="1">
      <alignment/>
    </xf>
    <xf numFmtId="173" fontId="4" fillId="0" borderId="7" xfId="0" applyNumberFormat="1" applyFont="1" applyBorder="1" applyAlignment="1">
      <alignment/>
    </xf>
    <xf numFmtId="173" fontId="0" fillId="0" borderId="28" xfId="0" applyNumberFormat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3" fontId="3" fillId="0" borderId="20" xfId="0" applyNumberFormat="1" applyFont="1" applyFill="1" applyBorder="1" applyAlignment="1">
      <alignment/>
    </xf>
    <xf numFmtId="173" fontId="3" fillId="0" borderId="47" xfId="0" applyNumberFormat="1" applyFont="1" applyFill="1" applyBorder="1" applyAlignment="1">
      <alignment/>
    </xf>
    <xf numFmtId="173" fontId="18" fillId="0" borderId="21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8" xfId="0" applyNumberFormat="1" applyFont="1" applyFill="1" applyBorder="1" applyAlignment="1">
      <alignment/>
    </xf>
    <xf numFmtId="173" fontId="18" fillId="0" borderId="23" xfId="0" applyNumberFormat="1" applyFont="1" applyFill="1" applyBorder="1" applyAlignment="1">
      <alignment/>
    </xf>
    <xf numFmtId="173" fontId="18" fillId="0" borderId="22" xfId="0" applyNumberFormat="1" applyFont="1" applyFill="1" applyBorder="1" applyAlignment="1">
      <alignment/>
    </xf>
    <xf numFmtId="173" fontId="12" fillId="2" borderId="44" xfId="0" applyNumberFormat="1" applyFont="1" applyFill="1" applyBorder="1" applyAlignment="1">
      <alignment/>
    </xf>
    <xf numFmtId="173" fontId="12" fillId="2" borderId="48" xfId="0" applyNumberFormat="1" applyFont="1" applyFill="1" applyBorder="1" applyAlignment="1">
      <alignment/>
    </xf>
    <xf numFmtId="173" fontId="4" fillId="0" borderId="57" xfId="0" applyNumberFormat="1" applyFont="1" applyFill="1" applyBorder="1" applyAlignment="1">
      <alignment/>
    </xf>
    <xf numFmtId="173" fontId="18" fillId="0" borderId="34" xfId="0" applyNumberFormat="1" applyFont="1" applyFill="1" applyBorder="1" applyAlignment="1">
      <alignment/>
    </xf>
    <xf numFmtId="173" fontId="18" fillId="0" borderId="35" xfId="0" applyNumberFormat="1" applyFont="1" applyFill="1" applyBorder="1" applyAlignment="1">
      <alignment/>
    </xf>
    <xf numFmtId="173" fontId="18" fillId="0" borderId="3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3" xfId="0" applyFont="1" applyBorder="1" applyAlignment="1">
      <alignment/>
    </xf>
    <xf numFmtId="173" fontId="3" fillId="0" borderId="16" xfId="0" applyNumberFormat="1" applyFont="1" applyBorder="1" applyAlignment="1">
      <alignment/>
    </xf>
    <xf numFmtId="0" fontId="3" fillId="0" borderId="25" xfId="0" applyFont="1" applyBorder="1" applyAlignment="1">
      <alignment/>
    </xf>
    <xf numFmtId="173" fontId="3" fillId="0" borderId="25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3" fontId="3" fillId="0" borderId="72" xfId="0" applyNumberFormat="1" applyFont="1" applyBorder="1" applyAlignment="1">
      <alignment/>
    </xf>
    <xf numFmtId="173" fontId="3" fillId="0" borderId="15" xfId="0" applyNumberFormat="1" applyFont="1" applyBorder="1" applyAlignment="1">
      <alignment/>
    </xf>
    <xf numFmtId="173" fontId="3" fillId="0" borderId="68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3" fontId="3" fillId="0" borderId="69" xfId="0" applyNumberFormat="1" applyFont="1" applyBorder="1" applyAlignment="1">
      <alignment/>
    </xf>
    <xf numFmtId="173" fontId="3" fillId="0" borderId="60" xfId="0" applyNumberFormat="1" applyFont="1" applyBorder="1" applyAlignment="1">
      <alignment/>
    </xf>
    <xf numFmtId="0" fontId="3" fillId="2" borderId="33" xfId="0" applyFont="1" applyFill="1" applyBorder="1" applyAlignment="1">
      <alignment horizontal="center"/>
    </xf>
    <xf numFmtId="173" fontId="24" fillId="0" borderId="6" xfId="0" applyNumberFormat="1" applyFont="1" applyBorder="1" applyAlignment="1">
      <alignment/>
    </xf>
    <xf numFmtId="173" fontId="26" fillId="0" borderId="11" xfId="0" applyNumberFormat="1" applyFont="1" applyBorder="1" applyAlignment="1">
      <alignment/>
    </xf>
    <xf numFmtId="173" fontId="27" fillId="0" borderId="38" xfId="0" applyNumberFormat="1" applyFont="1" applyBorder="1" applyAlignment="1">
      <alignment/>
    </xf>
    <xf numFmtId="173" fontId="27" fillId="0" borderId="31" xfId="0" applyNumberFormat="1" applyFont="1" applyBorder="1" applyAlignment="1">
      <alignment/>
    </xf>
    <xf numFmtId="0" fontId="4" fillId="0" borderId="69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57" xfId="0" applyFont="1" applyBorder="1" applyAlignment="1">
      <alignment/>
    </xf>
    <xf numFmtId="0" fontId="3" fillId="0" borderId="21" xfId="18" applyFont="1" applyBorder="1">
      <alignment/>
      <protection/>
    </xf>
    <xf numFmtId="173" fontId="28" fillId="0" borderId="60" xfId="0" applyNumberFormat="1" applyFont="1" applyBorder="1" applyAlignment="1">
      <alignment horizontal="right" indent="1"/>
    </xf>
    <xf numFmtId="173" fontId="3" fillId="0" borderId="46" xfId="0" applyNumberFormat="1" applyFont="1" applyBorder="1" applyAlignment="1">
      <alignment horizontal="center"/>
    </xf>
    <xf numFmtId="173" fontId="12" fillId="2" borderId="34" xfId="0" applyNumberFormat="1" applyFont="1" applyFill="1" applyBorder="1" applyAlignment="1">
      <alignment/>
    </xf>
    <xf numFmtId="173" fontId="12" fillId="2" borderId="35" xfId="0" applyNumberFormat="1" applyFont="1" applyFill="1" applyBorder="1" applyAlignment="1">
      <alignment/>
    </xf>
    <xf numFmtId="173" fontId="14" fillId="2" borderId="55" xfId="0" applyNumberFormat="1" applyFont="1" applyFill="1" applyBorder="1" applyAlignment="1">
      <alignment/>
    </xf>
    <xf numFmtId="173" fontId="14" fillId="2" borderId="59" xfId="0" applyNumberFormat="1" applyFont="1" applyFill="1" applyBorder="1" applyAlignment="1">
      <alignment/>
    </xf>
    <xf numFmtId="173" fontId="18" fillId="0" borderId="24" xfId="0" applyNumberFormat="1" applyFont="1" applyBorder="1" applyAlignment="1">
      <alignment/>
    </xf>
    <xf numFmtId="173" fontId="4" fillId="2" borderId="56" xfId="0" applyNumberFormat="1" applyFont="1" applyFill="1" applyBorder="1" applyAlignment="1">
      <alignment/>
    </xf>
    <xf numFmtId="173" fontId="3" fillId="0" borderId="74" xfId="0" applyNumberFormat="1" applyFont="1" applyBorder="1" applyAlignment="1">
      <alignment horizontal="center"/>
    </xf>
    <xf numFmtId="2" fontId="12" fillId="2" borderId="33" xfId="0" applyNumberFormat="1" applyFont="1" applyFill="1" applyBorder="1" applyAlignment="1">
      <alignment/>
    </xf>
    <xf numFmtId="173" fontId="3" fillId="0" borderId="34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6" xfId="0" applyNumberFormat="1" applyFont="1" applyFill="1" applyBorder="1" applyAlignment="1">
      <alignment/>
    </xf>
    <xf numFmtId="173" fontId="18" fillId="2" borderId="22" xfId="0" applyNumberFormat="1" applyFont="1" applyFill="1" applyBorder="1" applyAlignment="1">
      <alignment/>
    </xf>
    <xf numFmtId="173" fontId="18" fillId="2" borderId="32" xfId="0" applyNumberFormat="1" applyFont="1" applyFill="1" applyBorder="1" applyAlignment="1">
      <alignment/>
    </xf>
    <xf numFmtId="173" fontId="18" fillId="2" borderId="5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3" fillId="2" borderId="4" xfId="0" applyNumberFormat="1" applyFont="1" applyFill="1" applyBorder="1" applyAlignment="1">
      <alignment/>
    </xf>
    <xf numFmtId="1" fontId="3" fillId="2" borderId="29" xfId="0" applyNumberFormat="1" applyFont="1" applyFill="1" applyBorder="1" applyAlignment="1">
      <alignment/>
    </xf>
    <xf numFmtId="173" fontId="3" fillId="0" borderId="60" xfId="0" applyNumberFormat="1" applyFont="1" applyBorder="1" applyAlignment="1">
      <alignment horizontal="center"/>
    </xf>
    <xf numFmtId="173" fontId="12" fillId="2" borderId="52" xfId="0" applyNumberFormat="1" applyFont="1" applyFill="1" applyBorder="1" applyAlignment="1">
      <alignment/>
    </xf>
    <xf numFmtId="173" fontId="12" fillId="2" borderId="59" xfId="0" applyNumberFormat="1" applyFont="1" applyFill="1" applyBorder="1" applyAlignment="1">
      <alignment/>
    </xf>
    <xf numFmtId="173" fontId="18" fillId="0" borderId="52" xfId="0" applyNumberFormat="1" applyFont="1" applyBorder="1" applyAlignment="1">
      <alignment/>
    </xf>
    <xf numFmtId="173" fontId="3" fillId="0" borderId="22" xfId="0" applyNumberFormat="1" applyFont="1" applyBorder="1" applyAlignment="1">
      <alignment/>
    </xf>
    <xf numFmtId="173" fontId="18" fillId="0" borderId="41" xfId="0" applyNumberFormat="1" applyFont="1" applyFill="1" applyBorder="1" applyAlignment="1">
      <alignment/>
    </xf>
    <xf numFmtId="173" fontId="18" fillId="2" borderId="41" xfId="0" applyNumberFormat="1" applyFont="1" applyFill="1" applyBorder="1" applyAlignment="1">
      <alignment/>
    </xf>
    <xf numFmtId="173" fontId="18" fillId="0" borderId="46" xfId="0" applyNumberFormat="1" applyFont="1" applyBorder="1" applyAlignment="1">
      <alignment/>
    </xf>
    <xf numFmtId="173" fontId="3" fillId="0" borderId="56" xfId="0" applyNumberFormat="1" applyFont="1" applyBorder="1" applyAlignment="1">
      <alignment horizontal="center"/>
    </xf>
    <xf numFmtId="173" fontId="3" fillId="0" borderId="58" xfId="0" applyNumberFormat="1" applyFont="1" applyBorder="1" applyAlignment="1">
      <alignment/>
    </xf>
    <xf numFmtId="180" fontId="3" fillId="0" borderId="7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73" fontId="18" fillId="0" borderId="20" xfId="0" applyNumberFormat="1" applyFont="1" applyBorder="1" applyAlignment="1">
      <alignment/>
    </xf>
    <xf numFmtId="173" fontId="18" fillId="0" borderId="77" xfId="0" applyNumberFormat="1" applyFont="1" applyBorder="1" applyAlignment="1">
      <alignment/>
    </xf>
    <xf numFmtId="173" fontId="12" fillId="2" borderId="58" xfId="0" applyNumberFormat="1" applyFont="1" applyFill="1" applyBorder="1" applyAlignment="1">
      <alignment/>
    </xf>
    <xf numFmtId="173" fontId="3" fillId="2" borderId="34" xfId="0" applyNumberFormat="1" applyFont="1" applyFill="1" applyBorder="1" applyAlignment="1">
      <alignment/>
    </xf>
    <xf numFmtId="173" fontId="3" fillId="2" borderId="35" xfId="0" applyNumberFormat="1" applyFont="1" applyFill="1" applyBorder="1" applyAlignment="1">
      <alignment/>
    </xf>
    <xf numFmtId="173" fontId="3" fillId="2" borderId="36" xfId="0" applyNumberFormat="1" applyFont="1" applyFill="1" applyBorder="1" applyAlignment="1">
      <alignment/>
    </xf>
    <xf numFmtId="173" fontId="3" fillId="2" borderId="55" xfId="0" applyNumberFormat="1" applyFont="1" applyFill="1" applyBorder="1" applyAlignment="1">
      <alignment/>
    </xf>
    <xf numFmtId="173" fontId="3" fillId="2" borderId="59" xfId="0" applyNumberFormat="1" applyFont="1" applyFill="1" applyBorder="1" applyAlignment="1">
      <alignment/>
    </xf>
    <xf numFmtId="173" fontId="3" fillId="2" borderId="57" xfId="0" applyNumberFormat="1" applyFont="1" applyFill="1" applyBorder="1" applyAlignment="1">
      <alignment/>
    </xf>
    <xf numFmtId="173" fontId="3" fillId="2" borderId="77" xfId="0" applyNumberFormat="1" applyFont="1" applyFill="1" applyBorder="1" applyAlignment="1">
      <alignment/>
    </xf>
    <xf numFmtId="173" fontId="3" fillId="2" borderId="58" xfId="0" applyNumberFormat="1" applyFont="1" applyFill="1" applyBorder="1" applyAlignment="1">
      <alignment/>
    </xf>
    <xf numFmtId="173" fontId="3" fillId="2" borderId="27" xfId="0" applyNumberFormat="1" applyFont="1" applyFill="1" applyBorder="1" applyAlignment="1">
      <alignment horizontal="center"/>
    </xf>
    <xf numFmtId="173" fontId="3" fillId="0" borderId="24" xfId="0" applyNumberFormat="1" applyFont="1" applyBorder="1" applyAlignment="1">
      <alignment/>
    </xf>
    <xf numFmtId="173" fontId="12" fillId="2" borderId="56" xfId="0" applyNumberFormat="1" applyFont="1" applyFill="1" applyBorder="1" applyAlignment="1">
      <alignment/>
    </xf>
    <xf numFmtId="173" fontId="3" fillId="0" borderId="23" xfId="0" applyNumberFormat="1" applyFont="1" applyBorder="1" applyAlignment="1">
      <alignment/>
    </xf>
    <xf numFmtId="173" fontId="12" fillId="2" borderId="55" xfId="0" applyNumberFormat="1" applyFont="1" applyFill="1" applyBorder="1" applyAlignment="1">
      <alignment/>
    </xf>
    <xf numFmtId="176" fontId="3" fillId="0" borderId="78" xfId="0" applyNumberFormat="1" applyFont="1" applyBorder="1" applyAlignment="1">
      <alignment/>
    </xf>
    <xf numFmtId="175" fontId="4" fillId="0" borderId="72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24" xfId="0" applyNumberFormat="1" applyFont="1" applyBorder="1" applyAlignment="1">
      <alignment/>
    </xf>
    <xf numFmtId="43" fontId="3" fillId="0" borderId="45" xfId="0" applyNumberFormat="1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20" xfId="0" applyNumberFormat="1" applyFont="1" applyBorder="1" applyAlignment="1">
      <alignment/>
    </xf>
    <xf numFmtId="43" fontId="3" fillId="0" borderId="47" xfId="0" applyNumberFormat="1" applyFont="1" applyBorder="1" applyAlignment="1">
      <alignment/>
    </xf>
    <xf numFmtId="176" fontId="21" fillId="0" borderId="47" xfId="0" applyNumberFormat="1" applyFont="1" applyBorder="1" applyAlignment="1">
      <alignment/>
    </xf>
    <xf numFmtId="43" fontId="3" fillId="0" borderId="8" xfId="0" applyNumberFormat="1" applyFont="1" applyBorder="1" applyAlignment="1">
      <alignment/>
    </xf>
    <xf numFmtId="43" fontId="3" fillId="0" borderId="9" xfId="0" applyNumberFormat="1" applyFont="1" applyBorder="1" applyAlignment="1">
      <alignment/>
    </xf>
    <xf numFmtId="43" fontId="3" fillId="0" borderId="35" xfId="0" applyNumberFormat="1" applyFont="1" applyBorder="1" applyAlignment="1">
      <alignment/>
    </xf>
    <xf numFmtId="43" fontId="3" fillId="0" borderId="36" xfId="0" applyNumberFormat="1" applyFont="1" applyBorder="1" applyAlignment="1">
      <alignment/>
    </xf>
    <xf numFmtId="175" fontId="4" fillId="0" borderId="59" xfId="0" applyNumberFormat="1" applyFont="1" applyBorder="1" applyAlignment="1">
      <alignment/>
    </xf>
    <xf numFmtId="175" fontId="4" fillId="0" borderId="57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2" borderId="10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2" borderId="41" xfId="0" applyNumberFormat="1" applyFont="1" applyFill="1" applyBorder="1" applyAlignment="1">
      <alignment/>
    </xf>
    <xf numFmtId="180" fontId="3" fillId="0" borderId="33" xfId="0" applyNumberFormat="1" applyFont="1" applyBorder="1" applyAlignment="1">
      <alignment/>
    </xf>
    <xf numFmtId="0" fontId="3" fillId="0" borderId="7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173" fontId="24" fillId="0" borderId="56" xfId="0" applyNumberFormat="1" applyFont="1" applyBorder="1" applyAlignment="1">
      <alignment horizontal="center"/>
    </xf>
    <xf numFmtId="173" fontId="24" fillId="0" borderId="73" xfId="0" applyNumberFormat="1" applyFont="1" applyBorder="1" applyAlignment="1">
      <alignment horizontal="center"/>
    </xf>
    <xf numFmtId="173" fontId="24" fillId="0" borderId="61" xfId="0" applyNumberFormat="1" applyFont="1" applyBorder="1" applyAlignment="1">
      <alignment horizontal="center"/>
    </xf>
    <xf numFmtId="173" fontId="24" fillId="0" borderId="76" xfId="0" applyNumberFormat="1" applyFont="1" applyBorder="1" applyAlignment="1">
      <alignment horizontal="center"/>
    </xf>
    <xf numFmtId="173" fontId="27" fillId="0" borderId="59" xfId="0" applyNumberFormat="1" applyFont="1" applyBorder="1" applyAlignment="1">
      <alignment/>
    </xf>
    <xf numFmtId="180" fontId="4" fillId="0" borderId="55" xfId="0" applyNumberFormat="1" applyFont="1" applyBorder="1" applyAlignment="1">
      <alignment/>
    </xf>
    <xf numFmtId="173" fontId="26" fillId="0" borderId="57" xfId="0" applyNumberFormat="1" applyFont="1" applyBorder="1" applyAlignment="1">
      <alignment/>
    </xf>
    <xf numFmtId="173" fontId="18" fillId="0" borderId="40" xfId="0" applyNumberFormat="1" applyFont="1" applyBorder="1" applyAlignment="1">
      <alignment/>
    </xf>
    <xf numFmtId="173" fontId="18" fillId="0" borderId="42" xfId="0" applyNumberFormat="1" applyFont="1" applyBorder="1" applyAlignment="1">
      <alignment/>
    </xf>
    <xf numFmtId="173" fontId="26" fillId="0" borderId="21" xfId="0" applyNumberFormat="1" applyFont="1" applyBorder="1" applyAlignment="1">
      <alignment/>
    </xf>
    <xf numFmtId="180" fontId="4" fillId="0" borderId="47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73" fontId="18" fillId="0" borderId="24" xfId="0" applyNumberFormat="1" applyFont="1" applyFill="1" applyBorder="1" applyAlignment="1">
      <alignment/>
    </xf>
    <xf numFmtId="173" fontId="18" fillId="0" borderId="52" xfId="0" applyNumberFormat="1" applyFont="1" applyFill="1" applyBorder="1" applyAlignment="1">
      <alignment/>
    </xf>
    <xf numFmtId="173" fontId="12" fillId="2" borderId="45" xfId="0" applyNumberFormat="1" applyFont="1" applyFill="1" applyBorder="1" applyAlignment="1">
      <alignment/>
    </xf>
    <xf numFmtId="173" fontId="3" fillId="0" borderId="44" xfId="0" applyNumberFormat="1" applyFont="1" applyFill="1" applyBorder="1" applyAlignment="1">
      <alignment/>
    </xf>
    <xf numFmtId="173" fontId="4" fillId="2" borderId="27" xfId="0" applyNumberFormat="1" applyFont="1" applyFill="1" applyBorder="1" applyAlignment="1">
      <alignment horizontal="center" wrapText="1"/>
    </xf>
    <xf numFmtId="173" fontId="4" fillId="2" borderId="28" xfId="0" applyNumberFormat="1" applyFont="1" applyFill="1" applyBorder="1" applyAlignment="1">
      <alignment horizontal="center" wrapText="1"/>
    </xf>
    <xf numFmtId="173" fontId="4" fillId="2" borderId="2" xfId="0" applyNumberFormat="1" applyFont="1" applyFill="1" applyBorder="1" applyAlignment="1">
      <alignment horizontal="center" wrapText="1"/>
    </xf>
    <xf numFmtId="173" fontId="4" fillId="2" borderId="3" xfId="0" applyNumberFormat="1" applyFont="1" applyFill="1" applyBorder="1" applyAlignment="1">
      <alignment horizontal="center" wrapText="1"/>
    </xf>
    <xf numFmtId="173" fontId="4" fillId="2" borderId="4" xfId="0" applyNumberFormat="1" applyFont="1" applyFill="1" applyBorder="1" applyAlignment="1">
      <alignment horizontal="center" wrapText="1"/>
    </xf>
    <xf numFmtId="173" fontId="4" fillId="2" borderId="4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/>
    </xf>
    <xf numFmtId="173" fontId="4" fillId="2" borderId="2" xfId="0" applyNumberFormat="1" applyFont="1" applyFill="1" applyBorder="1" applyAlignment="1">
      <alignment horizontal="center"/>
    </xf>
    <xf numFmtId="173" fontId="4" fillId="2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173" fontId="4" fillId="2" borderId="3" xfId="0" applyNumberFormat="1" applyFont="1" applyFill="1" applyBorder="1" applyAlignment="1">
      <alignment horizontal="center" vertical="center" wrapText="1"/>
    </xf>
    <xf numFmtId="173" fontId="4" fillId="2" borderId="4" xfId="0" applyNumberFormat="1" applyFont="1" applyFill="1" applyBorder="1" applyAlignment="1">
      <alignment horizontal="center" vertical="center" wrapText="1"/>
    </xf>
    <xf numFmtId="173" fontId="4" fillId="2" borderId="28" xfId="0" applyNumberFormat="1" applyFont="1" applyFill="1" applyBorder="1" applyAlignment="1">
      <alignment horizontal="center" vertical="center" wrapText="1"/>
    </xf>
    <xf numFmtId="173" fontId="4" fillId="2" borderId="29" xfId="0" applyNumberFormat="1" applyFont="1" applyFill="1" applyBorder="1" applyAlignment="1">
      <alignment horizontal="center" vertical="center" wrapText="1"/>
    </xf>
    <xf numFmtId="173" fontId="4" fillId="2" borderId="29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27" xfId="0" applyNumberFormat="1" applyFont="1" applyFill="1" applyBorder="1" applyAlignment="1">
      <alignment horizontal="center" wrapText="1"/>
    </xf>
    <xf numFmtId="49" fontId="4" fillId="2" borderId="28" xfId="0" applyNumberFormat="1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3" fontId="4" fillId="2" borderId="27" xfId="0" applyNumberFormat="1" applyFont="1" applyFill="1" applyBorder="1" applyAlignment="1">
      <alignment horizontal="center"/>
    </xf>
    <xf numFmtId="173" fontId="4" fillId="2" borderId="28" xfId="0" applyNumberFormat="1" applyFont="1" applyFill="1" applyBorder="1" applyAlignment="1">
      <alignment horizontal="center"/>
    </xf>
    <xf numFmtId="173" fontId="4" fillId="2" borderId="29" xfId="0" applyNumberFormat="1" applyFont="1" applyFill="1" applyBorder="1" applyAlignment="1">
      <alignment horizontal="center"/>
    </xf>
    <xf numFmtId="173" fontId="4" fillId="2" borderId="2" xfId="0" applyNumberFormat="1" applyFont="1" applyFill="1" applyBorder="1" applyAlignment="1">
      <alignment horizontal="center"/>
    </xf>
    <xf numFmtId="173" fontId="4" fillId="2" borderId="3" xfId="0" applyNumberFormat="1" applyFont="1" applyFill="1" applyBorder="1" applyAlignment="1">
      <alignment horizontal="center"/>
    </xf>
    <xf numFmtId="173" fontId="4" fillId="2" borderId="28" xfId="0" applyNumberFormat="1" applyFont="1" applyFill="1" applyBorder="1" applyAlignment="1">
      <alignment horizontal="center"/>
    </xf>
    <xf numFmtId="173" fontId="4" fillId="2" borderId="29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1" fontId="4" fillId="2" borderId="27" xfId="0" applyNumberFormat="1" applyFont="1" applyFill="1" applyBorder="1" applyAlignment="1">
      <alignment horizontal="center" wrapText="1"/>
    </xf>
    <xf numFmtId="1" fontId="4" fillId="2" borderId="28" xfId="0" applyNumberFormat="1" applyFont="1" applyFill="1" applyBorder="1" applyAlignment="1">
      <alignment horizont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49" fontId="4" fillId="2" borderId="68" xfId="0" applyNumberFormat="1" applyFont="1" applyFill="1" applyBorder="1" applyAlignment="1">
      <alignment horizontal="center" wrapText="1"/>
    </xf>
    <xf numFmtId="173" fontId="4" fillId="2" borderId="15" xfId="0" applyNumberFormat="1" applyFont="1" applyFill="1" applyBorder="1" applyAlignment="1">
      <alignment horizontal="center" wrapText="1"/>
    </xf>
    <xf numFmtId="173" fontId="4" fillId="2" borderId="16" xfId="0" applyNumberFormat="1" applyFont="1" applyFill="1" applyBorder="1" applyAlignment="1">
      <alignment horizontal="center" wrapText="1"/>
    </xf>
    <xf numFmtId="173" fontId="4" fillId="2" borderId="17" xfId="0" applyNumberFormat="1" applyFont="1" applyFill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32" fillId="0" borderId="29" xfId="0" applyFont="1" applyBorder="1" applyAlignment="1">
      <alignment horizontal="center" wrapText="1"/>
    </xf>
    <xf numFmtId="1" fontId="4" fillId="2" borderId="4" xfId="0" applyNumberFormat="1" applyFont="1" applyFill="1" applyBorder="1" applyAlignment="1">
      <alignment horizontal="center" wrapText="1"/>
    </xf>
    <xf numFmtId="1" fontId="4" fillId="2" borderId="29" xfId="0" applyNumberFormat="1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73" fontId="25" fillId="0" borderId="3" xfId="0" applyNumberFormat="1" applyFont="1" applyBorder="1" applyAlignment="1">
      <alignment horizontal="center" vertical="center"/>
    </xf>
    <xf numFmtId="173" fontId="25" fillId="0" borderId="4" xfId="0" applyNumberFormat="1" applyFont="1" applyBorder="1" applyAlignment="1">
      <alignment horizontal="center" vertical="center"/>
    </xf>
    <xf numFmtId="173" fontId="25" fillId="0" borderId="16" xfId="0" applyNumberFormat="1" applyFont="1" applyBorder="1" applyAlignment="1">
      <alignment horizontal="center" vertical="center"/>
    </xf>
    <xf numFmtId="173" fontId="25" fillId="0" borderId="17" xfId="0" applyNumberFormat="1" applyFont="1" applyBorder="1" applyAlignment="1">
      <alignment horizontal="center" vertical="center"/>
    </xf>
    <xf numFmtId="173" fontId="25" fillId="0" borderId="2" xfId="0" applyNumberFormat="1" applyFont="1" applyBorder="1" applyAlignment="1">
      <alignment horizontal="center"/>
    </xf>
    <xf numFmtId="173" fontId="25" fillId="0" borderId="3" xfId="0" applyNumberFormat="1" applyFont="1" applyBorder="1" applyAlignment="1">
      <alignment horizontal="center"/>
    </xf>
    <xf numFmtId="173" fontId="25" fillId="0" borderId="4" xfId="0" applyNumberFormat="1" applyFont="1" applyBorder="1" applyAlignment="1">
      <alignment horizontal="center"/>
    </xf>
    <xf numFmtId="173" fontId="25" fillId="0" borderId="39" xfId="0" applyNumberFormat="1" applyFont="1" applyBorder="1" applyAlignment="1">
      <alignment horizontal="center" wrapText="1"/>
    </xf>
    <xf numFmtId="173" fontId="25" fillId="0" borderId="12" xfId="0" applyNumberFormat="1" applyFont="1" applyBorder="1" applyAlignment="1">
      <alignment horizontal="center" wrapText="1"/>
    </xf>
    <xf numFmtId="173" fontId="25" fillId="0" borderId="64" xfId="0" applyNumberFormat="1" applyFont="1" applyBorder="1" applyAlignment="1">
      <alignment horizontal="center" wrapText="1"/>
    </xf>
    <xf numFmtId="1" fontId="25" fillId="0" borderId="15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0" borderId="17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center"/>
    </xf>
    <xf numFmtId="49" fontId="25" fillId="0" borderId="79" xfId="0" applyNumberFormat="1" applyFont="1" applyBorder="1" applyAlignment="1">
      <alignment horizontal="center"/>
    </xf>
    <xf numFmtId="49" fontId="25" fillId="0" borderId="71" xfId="0" applyNumberFormat="1" applyFont="1" applyBorder="1" applyAlignment="1">
      <alignment horizontal="center"/>
    </xf>
    <xf numFmtId="173" fontId="25" fillId="0" borderId="15" xfId="0" applyNumberFormat="1" applyFont="1" applyBorder="1" applyAlignment="1">
      <alignment horizontal="center"/>
    </xf>
    <xf numFmtId="173" fontId="25" fillId="0" borderId="16" xfId="0" applyNumberFormat="1" applyFont="1" applyBorder="1" applyAlignment="1">
      <alignment horizontal="center"/>
    </xf>
    <xf numFmtId="173" fontId="25" fillId="0" borderId="17" xfId="0" applyNumberFormat="1" applyFont="1" applyBorder="1" applyAlignment="1">
      <alignment horizontal="center"/>
    </xf>
    <xf numFmtId="173" fontId="25" fillId="0" borderId="27" xfId="0" applyNumberFormat="1" applyFont="1" applyBorder="1" applyAlignment="1">
      <alignment horizontal="center"/>
    </xf>
    <xf numFmtId="173" fontId="25" fillId="0" borderId="28" xfId="0" applyNumberFormat="1" applyFont="1" applyBorder="1" applyAlignment="1">
      <alignment horizontal="center"/>
    </xf>
    <xf numFmtId="173" fontId="25" fillId="0" borderId="29" xfId="0" applyNumberFormat="1" applyFont="1" applyBorder="1" applyAlignment="1">
      <alignment horizontal="center"/>
    </xf>
    <xf numFmtId="173" fontId="25" fillId="0" borderId="2" xfId="0" applyNumberFormat="1" applyFont="1" applyBorder="1" applyAlignment="1">
      <alignment horizontal="center" wrapText="1"/>
    </xf>
    <xf numFmtId="173" fontId="25" fillId="0" borderId="3" xfId="0" applyNumberFormat="1" applyFont="1" applyBorder="1" applyAlignment="1">
      <alignment horizontal="center" wrapText="1"/>
    </xf>
    <xf numFmtId="173" fontId="25" fillId="0" borderId="4" xfId="0" applyNumberFormat="1" applyFont="1" applyBorder="1" applyAlignment="1">
      <alignment horizontal="center" wrapText="1"/>
    </xf>
    <xf numFmtId="1" fontId="25" fillId="0" borderId="27" xfId="0" applyNumberFormat="1" applyFont="1" applyBorder="1" applyAlignment="1">
      <alignment horizontal="center"/>
    </xf>
    <xf numFmtId="1" fontId="25" fillId="0" borderId="28" xfId="0" applyNumberFormat="1" applyFont="1" applyBorder="1" applyAlignment="1">
      <alignment horizontal="center"/>
    </xf>
    <xf numFmtId="1" fontId="25" fillId="0" borderId="29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173" fontId="25" fillId="0" borderId="2" xfId="0" applyNumberFormat="1" applyFont="1" applyBorder="1" applyAlignment="1">
      <alignment horizontal="center" vertical="center" wrapText="1"/>
    </xf>
    <xf numFmtId="173" fontId="25" fillId="0" borderId="3" xfId="0" applyNumberFormat="1" applyFont="1" applyBorder="1" applyAlignment="1">
      <alignment horizontal="center" vertical="center" wrapText="1"/>
    </xf>
    <xf numFmtId="173" fontId="25" fillId="0" borderId="4" xfId="0" applyNumberFormat="1" applyFont="1" applyBorder="1" applyAlignment="1">
      <alignment horizontal="center" vertical="center" wrapText="1"/>
    </xf>
    <xf numFmtId="173" fontId="3" fillId="2" borderId="18" xfId="0" applyNumberFormat="1" applyFont="1" applyFill="1" applyBorder="1" applyAlignment="1">
      <alignment/>
    </xf>
    <xf numFmtId="173" fontId="3" fillId="2" borderId="20" xfId="0" applyNumberFormat="1" applyFont="1" applyFill="1" applyBorder="1" applyAlignment="1">
      <alignment/>
    </xf>
    <xf numFmtId="173" fontId="3" fillId="2" borderId="23" xfId="0" applyNumberFormat="1" applyFont="1" applyFill="1" applyBorder="1" applyAlignment="1">
      <alignment/>
    </xf>
    <xf numFmtId="173" fontId="14" fillId="0" borderId="55" xfId="0" applyNumberFormat="1" applyFont="1" applyFill="1" applyBorder="1" applyAlignment="1">
      <alignment/>
    </xf>
    <xf numFmtId="173" fontId="14" fillId="0" borderId="58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общий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37"/>
  <sheetViews>
    <sheetView zoomScale="75" zoomScaleNormal="75" workbookViewId="0" topLeftCell="A1">
      <pane xSplit="2" topLeftCell="BX1" activePane="topRight" state="frozen"/>
      <selection pane="topLeft" activeCell="A1" sqref="A1"/>
      <selection pane="topRight" activeCell="AC13" sqref="AC13"/>
    </sheetView>
  </sheetViews>
  <sheetFormatPr defaultColWidth="9.00390625" defaultRowHeight="12.75"/>
  <cols>
    <col min="1" max="1" width="5.125" style="0" customWidth="1"/>
    <col min="2" max="2" width="30.00390625" style="0" customWidth="1"/>
    <col min="3" max="3" width="9.75390625" style="0" bestFit="1" customWidth="1"/>
    <col min="4" max="4" width="12.875" style="0" bestFit="1" customWidth="1"/>
    <col min="5" max="5" width="15.875" style="0" customWidth="1"/>
    <col min="6" max="6" width="14.875" style="0" bestFit="1" customWidth="1"/>
    <col min="7" max="7" width="16.875" style="0" customWidth="1"/>
    <col min="8" max="8" width="13.75390625" style="0" bestFit="1" customWidth="1"/>
    <col min="9" max="10" width="10.00390625" style="0" bestFit="1" customWidth="1"/>
    <col min="11" max="11" width="13.875" style="0" bestFit="1" customWidth="1"/>
    <col min="12" max="12" width="10.75390625" style="0" customWidth="1"/>
    <col min="13" max="13" width="12.25390625" style="0" customWidth="1"/>
    <col min="14" max="14" width="10.625" style="0" customWidth="1"/>
    <col min="15" max="15" width="29.75390625" style="0" customWidth="1"/>
    <col min="16" max="17" width="9.625" style="0" customWidth="1"/>
    <col min="18" max="20" width="9.875" style="0" customWidth="1"/>
    <col min="21" max="21" width="11.875" style="0" customWidth="1"/>
    <col min="22" max="23" width="9.25390625" style="0" customWidth="1"/>
    <col min="24" max="24" width="13.25390625" style="0" customWidth="1"/>
    <col min="25" max="25" width="12.25390625" style="0" customWidth="1"/>
    <col min="26" max="26" width="11.625" style="0" customWidth="1"/>
    <col min="27" max="27" width="12.875" style="0" customWidth="1"/>
    <col min="28" max="28" width="10.75390625" style="0" customWidth="1"/>
    <col min="29" max="29" width="13.625" style="0" customWidth="1"/>
    <col min="30" max="30" width="12.625" style="0" customWidth="1"/>
    <col min="31" max="32" width="9.25390625" style="0" customWidth="1"/>
    <col min="33" max="33" width="12.75390625" style="0" customWidth="1"/>
    <col min="34" max="35" width="9.25390625" style="0" customWidth="1"/>
    <col min="36" max="36" width="12.75390625" style="0" customWidth="1"/>
    <col min="37" max="38" width="9.25390625" style="0" customWidth="1"/>
    <col min="40" max="41" width="13.875" style="0" customWidth="1"/>
    <col min="42" max="42" width="14.125" style="0" customWidth="1"/>
    <col min="43" max="44" width="9.25390625" style="0" customWidth="1"/>
    <col min="45" max="45" width="12.75390625" style="0" customWidth="1"/>
    <col min="46" max="46" width="9.25390625" style="0" customWidth="1"/>
    <col min="47" max="47" width="30.125" style="0" customWidth="1"/>
    <col min="48" max="48" width="11.00390625" style="0" bestFit="1" customWidth="1"/>
    <col min="49" max="49" width="11.375" style="0" customWidth="1"/>
    <col min="50" max="50" width="13.625" style="0" bestFit="1" customWidth="1"/>
    <col min="51" max="52" width="9.625" style="0" customWidth="1"/>
    <col min="53" max="53" width="13.625" style="0" customWidth="1"/>
    <col min="54" max="54" width="11.25390625" style="0" customWidth="1"/>
    <col min="55" max="55" width="10.875" style="0" customWidth="1"/>
    <col min="56" max="56" width="13.625" style="0" bestFit="1" customWidth="1"/>
    <col min="57" max="57" width="9.625" style="0" bestFit="1" customWidth="1"/>
    <col min="58" max="58" width="12.75390625" style="0" customWidth="1"/>
    <col min="59" max="59" width="13.625" style="0" bestFit="1" customWidth="1"/>
    <col min="60" max="60" width="30.00390625" style="0" customWidth="1"/>
    <col min="61" max="62" width="9.375" style="0" bestFit="1" customWidth="1"/>
    <col min="63" max="63" width="13.375" style="0" bestFit="1" customWidth="1"/>
    <col min="64" max="64" width="9.375" style="0" bestFit="1" customWidth="1"/>
    <col min="65" max="65" width="9.25390625" style="0" bestFit="1" customWidth="1"/>
    <col min="66" max="66" width="13.25390625" style="0" bestFit="1" customWidth="1"/>
    <col min="67" max="68" width="9.25390625" style="0" bestFit="1" customWidth="1"/>
    <col min="69" max="69" width="13.25390625" style="0" bestFit="1" customWidth="1"/>
    <col min="70" max="71" width="9.625" style="0" bestFit="1" customWidth="1"/>
    <col min="72" max="72" width="13.25390625" style="0" bestFit="1" customWidth="1"/>
    <col min="73" max="73" width="29.75390625" style="0" customWidth="1"/>
    <col min="74" max="75" width="9.625" style="0" customWidth="1"/>
    <col min="76" max="76" width="13.25390625" style="0" customWidth="1"/>
    <col min="77" max="78" width="9.625" style="0" customWidth="1"/>
    <col min="79" max="79" width="13.25390625" style="0" customWidth="1"/>
    <col min="80" max="80" width="15.625" style="0" customWidth="1"/>
    <col min="81" max="81" width="21.00390625" style="0" customWidth="1"/>
    <col min="82" max="82" width="13.125" style="0" customWidth="1"/>
    <col min="83" max="84" width="9.25390625" style="0" customWidth="1"/>
    <col min="85" max="85" width="13.25390625" style="0" customWidth="1"/>
    <col min="86" max="87" width="9.25390625" style="0" customWidth="1"/>
    <col min="88" max="88" width="13.25390625" style="0" customWidth="1"/>
    <col min="89" max="89" width="14.625" style="0" customWidth="1"/>
    <col min="90" max="90" width="18.875" style="0" customWidth="1"/>
    <col min="91" max="91" width="12.75390625" style="0" customWidth="1"/>
    <col min="92" max="92" width="19.625" style="0" customWidth="1"/>
  </cols>
  <sheetData>
    <row r="1" spans="1:91" ht="24">
      <c r="A1" s="118" t="s">
        <v>101</v>
      </c>
      <c r="B1" s="118"/>
      <c r="C1" s="118"/>
      <c r="D1" s="118"/>
      <c r="E1" s="118"/>
      <c r="F1" s="118"/>
      <c r="G1" s="118"/>
      <c r="H1" s="118"/>
      <c r="I1" s="118"/>
      <c r="J1" s="118"/>
      <c r="K1" s="2"/>
      <c r="L1" s="2"/>
      <c r="M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21" thickBot="1">
      <c r="A2" s="2"/>
      <c r="B2" s="2"/>
      <c r="C2" s="3"/>
      <c r="D2" s="3"/>
      <c r="E2" s="3" t="s">
        <v>239</v>
      </c>
      <c r="F2" s="3"/>
      <c r="G2" s="3"/>
      <c r="H2" s="3"/>
      <c r="I2" s="3" t="s">
        <v>120</v>
      </c>
      <c r="J2" s="3"/>
      <c r="K2" s="2"/>
      <c r="L2" s="123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58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ht="20.25">
      <c r="A3" s="4" t="s">
        <v>40</v>
      </c>
      <c r="B3" s="5" t="s">
        <v>39</v>
      </c>
      <c r="C3" s="6" t="s">
        <v>59</v>
      </c>
      <c r="D3" s="7"/>
      <c r="E3" s="8"/>
      <c r="F3" s="810" t="s">
        <v>71</v>
      </c>
      <c r="G3" s="811"/>
      <c r="H3" s="811"/>
      <c r="I3" s="815" t="s">
        <v>84</v>
      </c>
      <c r="J3" s="816"/>
      <c r="K3" s="817"/>
      <c r="L3" s="7" t="s">
        <v>60</v>
      </c>
      <c r="M3" s="7"/>
      <c r="N3" s="7"/>
      <c r="O3" s="129" t="s">
        <v>39</v>
      </c>
      <c r="P3" s="810" t="s">
        <v>61</v>
      </c>
      <c r="Q3" s="811"/>
      <c r="R3" s="812"/>
      <c r="S3" s="810" t="s">
        <v>92</v>
      </c>
      <c r="T3" s="811"/>
      <c r="U3" s="812"/>
      <c r="V3" s="7" t="s">
        <v>62</v>
      </c>
      <c r="W3" s="7"/>
      <c r="X3" s="7"/>
      <c r="Y3" s="6"/>
      <c r="Z3" s="7" t="s">
        <v>74</v>
      </c>
      <c r="AA3" s="9"/>
      <c r="AB3" s="13" t="s">
        <v>75</v>
      </c>
      <c r="AC3" s="14"/>
      <c r="AD3" s="15"/>
      <c r="AE3" s="16" t="s">
        <v>67</v>
      </c>
      <c r="AF3" s="14"/>
      <c r="AG3" s="15"/>
      <c r="AH3" s="16" t="s">
        <v>66</v>
      </c>
      <c r="AI3" s="14"/>
      <c r="AJ3" s="17"/>
      <c r="AK3" s="12" t="s">
        <v>72</v>
      </c>
      <c r="AL3" s="7"/>
      <c r="AM3" s="7"/>
      <c r="AN3" s="813" t="s">
        <v>68</v>
      </c>
      <c r="AO3" s="811"/>
      <c r="AP3" s="811"/>
      <c r="AQ3" s="12" t="s">
        <v>73</v>
      </c>
      <c r="AR3" s="7"/>
      <c r="AS3" s="11"/>
      <c r="AT3" s="18"/>
      <c r="AU3" s="5" t="s">
        <v>39</v>
      </c>
      <c r="AV3" s="813" t="s">
        <v>65</v>
      </c>
      <c r="AW3" s="811"/>
      <c r="AX3" s="811"/>
      <c r="AY3" s="6" t="s">
        <v>64</v>
      </c>
      <c r="AZ3" s="7"/>
      <c r="BA3" s="9"/>
      <c r="BB3" s="811" t="s">
        <v>95</v>
      </c>
      <c r="BC3" s="811"/>
      <c r="BD3" s="814"/>
      <c r="BE3" s="813" t="s">
        <v>96</v>
      </c>
      <c r="BF3" s="811"/>
      <c r="BG3" s="814"/>
      <c r="BH3" s="10" t="s">
        <v>39</v>
      </c>
      <c r="BI3" s="6" t="s">
        <v>98</v>
      </c>
      <c r="BJ3" s="7"/>
      <c r="BK3" s="9"/>
      <c r="BL3" s="6" t="s">
        <v>88</v>
      </c>
      <c r="BM3" s="7"/>
      <c r="BN3" s="9"/>
      <c r="BO3" s="7" t="s">
        <v>76</v>
      </c>
      <c r="BP3" s="7"/>
      <c r="BQ3" s="7"/>
      <c r="BR3" s="6" t="s">
        <v>86</v>
      </c>
      <c r="BS3" s="7"/>
      <c r="BT3" s="9"/>
      <c r="BU3" s="10" t="s">
        <v>39</v>
      </c>
      <c r="BV3" s="810" t="s">
        <v>110</v>
      </c>
      <c r="BW3" s="811"/>
      <c r="BX3" s="812"/>
      <c r="BY3" s="6" t="s">
        <v>100</v>
      </c>
      <c r="BZ3" s="7"/>
      <c r="CA3" s="9"/>
      <c r="CB3" s="6" t="s">
        <v>78</v>
      </c>
      <c r="CC3" s="7"/>
      <c r="CD3" s="9"/>
      <c r="CE3" s="6" t="s">
        <v>79</v>
      </c>
      <c r="CF3" s="7"/>
      <c r="CG3" s="9"/>
      <c r="CH3" s="7"/>
      <c r="CI3" s="7"/>
      <c r="CJ3" s="7"/>
      <c r="CK3" s="6" t="s">
        <v>80</v>
      </c>
      <c r="CL3" s="7"/>
      <c r="CM3" s="9"/>
    </row>
    <row r="4" spans="1:91" ht="21" thickBot="1">
      <c r="A4" s="19"/>
      <c r="B4" s="20"/>
      <c r="C4" s="21"/>
      <c r="D4" s="22" t="s">
        <v>82</v>
      </c>
      <c r="E4" s="23"/>
      <c r="F4" s="22"/>
      <c r="G4" s="22" t="s">
        <v>46</v>
      </c>
      <c r="H4" s="22"/>
      <c r="I4" s="21"/>
      <c r="J4" s="22" t="s">
        <v>85</v>
      </c>
      <c r="K4" s="23"/>
      <c r="L4" s="22"/>
      <c r="M4" s="22" t="s">
        <v>47</v>
      </c>
      <c r="N4" s="22"/>
      <c r="O4" s="20"/>
      <c r="P4" s="126"/>
      <c r="Q4" s="127" t="s">
        <v>91</v>
      </c>
      <c r="R4" s="128"/>
      <c r="S4" s="126"/>
      <c r="T4" s="127" t="s">
        <v>51</v>
      </c>
      <c r="U4" s="128"/>
      <c r="V4" s="22"/>
      <c r="W4" s="22" t="s">
        <v>48</v>
      </c>
      <c r="X4" s="22"/>
      <c r="Y4" s="126"/>
      <c r="Z4" s="127" t="s">
        <v>93</v>
      </c>
      <c r="AA4" s="128"/>
      <c r="AB4" s="27"/>
      <c r="AC4" s="28" t="s">
        <v>94</v>
      </c>
      <c r="AD4" s="29"/>
      <c r="AE4" s="30"/>
      <c r="AF4" s="28" t="s">
        <v>52</v>
      </c>
      <c r="AG4" s="29"/>
      <c r="AH4" s="30"/>
      <c r="AI4" s="28" t="s">
        <v>53</v>
      </c>
      <c r="AJ4" s="31"/>
      <c r="AK4" s="26"/>
      <c r="AL4" s="22" t="s">
        <v>69</v>
      </c>
      <c r="AM4" s="22"/>
      <c r="AN4" s="26"/>
      <c r="AO4" s="22"/>
      <c r="AP4" s="22" t="s">
        <v>55</v>
      </c>
      <c r="AQ4" s="26"/>
      <c r="AR4" s="22" t="s">
        <v>83</v>
      </c>
      <c r="AS4" s="24"/>
      <c r="AT4" s="32"/>
      <c r="AU4" s="20"/>
      <c r="AV4" s="33"/>
      <c r="AW4" s="22" t="s">
        <v>54</v>
      </c>
      <c r="AX4" s="22"/>
      <c r="AY4" s="21"/>
      <c r="AZ4" s="22" t="s">
        <v>50</v>
      </c>
      <c r="BA4" s="23"/>
      <c r="BB4" s="22"/>
      <c r="BC4" s="22" t="s">
        <v>57</v>
      </c>
      <c r="BD4" s="22"/>
      <c r="BE4" s="33"/>
      <c r="BF4" s="22" t="s">
        <v>97</v>
      </c>
      <c r="BG4" s="24"/>
      <c r="BH4" s="25"/>
      <c r="BI4" s="21"/>
      <c r="BJ4" s="22" t="s">
        <v>99</v>
      </c>
      <c r="BK4" s="23"/>
      <c r="BL4" s="21" t="s">
        <v>89</v>
      </c>
      <c r="BM4" s="22"/>
      <c r="BN4" s="23"/>
      <c r="BO4" s="22"/>
      <c r="BP4" s="22" t="s">
        <v>77</v>
      </c>
      <c r="BQ4" s="22"/>
      <c r="BR4" s="21"/>
      <c r="BS4" s="22" t="s">
        <v>87</v>
      </c>
      <c r="BT4" s="23"/>
      <c r="BU4" s="25"/>
      <c r="BV4" s="21"/>
      <c r="BW4" s="22" t="s">
        <v>109</v>
      </c>
      <c r="BX4" s="23"/>
      <c r="BY4" s="21"/>
      <c r="BZ4" s="22" t="s">
        <v>102</v>
      </c>
      <c r="CA4" s="23"/>
      <c r="CB4" s="126"/>
      <c r="CC4" s="127"/>
      <c r="CD4" s="128"/>
      <c r="CE4" s="126"/>
      <c r="CF4" s="127" t="s">
        <v>81</v>
      </c>
      <c r="CG4" s="128"/>
      <c r="CH4" s="22"/>
      <c r="CI4" s="22"/>
      <c r="CJ4" s="22"/>
      <c r="CK4" s="21"/>
      <c r="CL4" s="22"/>
      <c r="CM4" s="23"/>
    </row>
    <row r="5" spans="1:91" ht="21" thickBot="1">
      <c r="A5" s="48"/>
      <c r="B5" s="72"/>
      <c r="C5" s="36" t="s">
        <v>41</v>
      </c>
      <c r="D5" s="37" t="s">
        <v>42</v>
      </c>
      <c r="E5" s="38" t="s">
        <v>0</v>
      </c>
      <c r="F5" s="42" t="s">
        <v>41</v>
      </c>
      <c r="G5" s="40" t="s">
        <v>42</v>
      </c>
      <c r="H5" s="47" t="s">
        <v>0</v>
      </c>
      <c r="I5" s="39" t="s">
        <v>41</v>
      </c>
      <c r="J5" s="40" t="s">
        <v>42</v>
      </c>
      <c r="K5" s="41" t="s">
        <v>0</v>
      </c>
      <c r="L5" s="42" t="s">
        <v>41</v>
      </c>
      <c r="M5" s="40" t="s">
        <v>42</v>
      </c>
      <c r="N5" s="47" t="s">
        <v>0</v>
      </c>
      <c r="O5" s="48"/>
      <c r="P5" s="42" t="s">
        <v>41</v>
      </c>
      <c r="Q5" s="40" t="s">
        <v>42</v>
      </c>
      <c r="R5" s="38" t="s">
        <v>0</v>
      </c>
      <c r="S5" s="39" t="s">
        <v>41</v>
      </c>
      <c r="T5" s="40" t="s">
        <v>42</v>
      </c>
      <c r="U5" s="41" t="s">
        <v>0</v>
      </c>
      <c r="V5" s="42" t="s">
        <v>41</v>
      </c>
      <c r="W5" s="42" t="s">
        <v>42</v>
      </c>
      <c r="X5" s="41" t="s">
        <v>0</v>
      </c>
      <c r="Y5" s="39" t="s">
        <v>41</v>
      </c>
      <c r="Z5" s="40" t="s">
        <v>42</v>
      </c>
      <c r="AA5" s="38" t="s">
        <v>0</v>
      </c>
      <c r="AB5" s="43" t="s">
        <v>41</v>
      </c>
      <c r="AC5" s="44" t="s">
        <v>42</v>
      </c>
      <c r="AD5" s="45" t="s">
        <v>0</v>
      </c>
      <c r="AE5" s="43" t="s">
        <v>41</v>
      </c>
      <c r="AF5" s="44" t="s">
        <v>42</v>
      </c>
      <c r="AG5" s="45" t="s">
        <v>0</v>
      </c>
      <c r="AH5" s="43" t="s">
        <v>41</v>
      </c>
      <c r="AI5" s="44" t="s">
        <v>42</v>
      </c>
      <c r="AJ5" s="45" t="s">
        <v>0</v>
      </c>
      <c r="AK5" s="39" t="s">
        <v>41</v>
      </c>
      <c r="AL5" s="40" t="s">
        <v>42</v>
      </c>
      <c r="AM5" s="41" t="s">
        <v>0</v>
      </c>
      <c r="AN5" s="136" t="s">
        <v>41</v>
      </c>
      <c r="AO5" s="137" t="s">
        <v>42</v>
      </c>
      <c r="AP5" s="132" t="s">
        <v>0</v>
      </c>
      <c r="AQ5" s="39" t="s">
        <v>41</v>
      </c>
      <c r="AR5" s="40" t="s">
        <v>42</v>
      </c>
      <c r="AS5" s="41" t="s">
        <v>0</v>
      </c>
      <c r="AT5" s="46" t="s">
        <v>41</v>
      </c>
      <c r="AU5" s="72"/>
      <c r="AV5" s="39" t="s">
        <v>41</v>
      </c>
      <c r="AW5" s="40" t="s">
        <v>42</v>
      </c>
      <c r="AX5" s="47" t="s">
        <v>0</v>
      </c>
      <c r="AY5" s="39" t="s">
        <v>41</v>
      </c>
      <c r="AZ5" s="40" t="s">
        <v>42</v>
      </c>
      <c r="BA5" s="41" t="s">
        <v>0</v>
      </c>
      <c r="BB5" s="42" t="s">
        <v>41</v>
      </c>
      <c r="BC5" s="40" t="s">
        <v>42</v>
      </c>
      <c r="BD5" s="41" t="s">
        <v>0</v>
      </c>
      <c r="BE5" s="39" t="s">
        <v>41</v>
      </c>
      <c r="BF5" s="40" t="s">
        <v>42</v>
      </c>
      <c r="BG5" s="41" t="s">
        <v>0</v>
      </c>
      <c r="BH5" s="72"/>
      <c r="BI5" s="39" t="s">
        <v>41</v>
      </c>
      <c r="BJ5" s="40" t="s">
        <v>42</v>
      </c>
      <c r="BK5" s="41" t="s">
        <v>0</v>
      </c>
      <c r="BL5" s="39" t="s">
        <v>41</v>
      </c>
      <c r="BM5" s="40" t="s">
        <v>42</v>
      </c>
      <c r="BN5" s="41" t="s">
        <v>0</v>
      </c>
      <c r="BO5" s="42" t="s">
        <v>41</v>
      </c>
      <c r="BP5" s="40" t="s">
        <v>42</v>
      </c>
      <c r="BQ5" s="47" t="s">
        <v>0</v>
      </c>
      <c r="BR5" s="39" t="s">
        <v>41</v>
      </c>
      <c r="BS5" s="40" t="s">
        <v>42</v>
      </c>
      <c r="BT5" s="41" t="s">
        <v>0</v>
      </c>
      <c r="BU5" s="71"/>
      <c r="BV5" s="39" t="s">
        <v>41</v>
      </c>
      <c r="BW5" s="40" t="s">
        <v>42</v>
      </c>
      <c r="BX5" s="41" t="s">
        <v>0</v>
      </c>
      <c r="BY5" s="39" t="s">
        <v>41</v>
      </c>
      <c r="BZ5" s="40" t="s">
        <v>42</v>
      </c>
      <c r="CA5" s="47" t="s">
        <v>0</v>
      </c>
      <c r="CB5" s="146" t="s">
        <v>41</v>
      </c>
      <c r="CC5" s="147" t="s">
        <v>42</v>
      </c>
      <c r="CD5" s="148" t="s">
        <v>0</v>
      </c>
      <c r="CE5" s="421" t="s">
        <v>41</v>
      </c>
      <c r="CF5" s="422" t="s">
        <v>42</v>
      </c>
      <c r="CG5" s="423" t="s">
        <v>0</v>
      </c>
      <c r="CH5" s="36"/>
      <c r="CI5" s="37"/>
      <c r="CJ5" s="37"/>
      <c r="CK5" s="36" t="s">
        <v>41</v>
      </c>
      <c r="CL5" s="37" t="s">
        <v>42</v>
      </c>
      <c r="CM5" s="38" t="s">
        <v>0</v>
      </c>
    </row>
    <row r="6" spans="1:93" ht="21" thickBot="1">
      <c r="A6" s="414">
        <v>1</v>
      </c>
      <c r="B6" s="410" t="s">
        <v>2</v>
      </c>
      <c r="C6" s="53"/>
      <c r="D6" s="51"/>
      <c r="E6" s="64" t="e">
        <f>(D6/C6)*100</f>
        <v>#DIV/0!</v>
      </c>
      <c r="F6" s="53">
        <v>300</v>
      </c>
      <c r="G6" s="55">
        <v>100.20186</v>
      </c>
      <c r="H6" s="52">
        <f aca="true" t="shared" si="0" ref="H6:H27">(G6/F6)*100</f>
        <v>33.400619999999996</v>
      </c>
      <c r="I6" s="50"/>
      <c r="J6" s="55"/>
      <c r="K6" s="51"/>
      <c r="L6" s="87"/>
      <c r="M6" s="133"/>
      <c r="N6" s="95"/>
      <c r="O6" s="426" t="s">
        <v>2</v>
      </c>
      <c r="P6" s="53"/>
      <c r="Q6" s="54"/>
      <c r="R6" s="52"/>
      <c r="S6" s="87"/>
      <c r="T6" s="122"/>
      <c r="U6" s="93"/>
      <c r="V6" s="53"/>
      <c r="W6" s="54"/>
      <c r="X6" s="52"/>
      <c r="Y6" s="50"/>
      <c r="Z6" s="54"/>
      <c r="AA6" s="56"/>
      <c r="AB6" s="50"/>
      <c r="AC6" s="54"/>
      <c r="AD6" s="52"/>
      <c r="AE6" s="50"/>
      <c r="AF6" s="54"/>
      <c r="AG6" s="52"/>
      <c r="AH6" s="50">
        <v>0</v>
      </c>
      <c r="AI6" s="54">
        <v>0</v>
      </c>
      <c r="AJ6" s="56"/>
      <c r="AK6" s="50"/>
      <c r="AL6" s="54"/>
      <c r="AM6" s="52"/>
      <c r="AN6" s="87"/>
      <c r="AO6" s="151"/>
      <c r="AP6" s="138"/>
      <c r="AQ6" s="50"/>
      <c r="AR6" s="54"/>
      <c r="AS6" s="52"/>
      <c r="AT6" s="57"/>
      <c r="AU6" s="410" t="s">
        <v>2</v>
      </c>
      <c r="AV6" s="53"/>
      <c r="AW6" s="54"/>
      <c r="AX6" s="52"/>
      <c r="AY6" s="50"/>
      <c r="AZ6" s="54"/>
      <c r="BA6" s="52"/>
      <c r="BB6" s="50"/>
      <c r="BC6" s="54"/>
      <c r="BD6" s="52"/>
      <c r="BE6" s="50"/>
      <c r="BF6" s="54"/>
      <c r="BG6" s="51"/>
      <c r="BH6" s="410" t="s">
        <v>2</v>
      </c>
      <c r="BI6" s="53"/>
      <c r="BJ6" s="54"/>
      <c r="BK6" s="52"/>
      <c r="BL6" s="50"/>
      <c r="BM6" s="54"/>
      <c r="BN6" s="64"/>
      <c r="BO6" s="60"/>
      <c r="BP6" s="54"/>
      <c r="BQ6" s="64"/>
      <c r="BR6" s="50"/>
      <c r="BS6" s="54"/>
      <c r="BT6" s="51"/>
      <c r="BU6" s="410" t="s">
        <v>2</v>
      </c>
      <c r="BV6" s="53"/>
      <c r="BW6" s="54"/>
      <c r="BX6" s="52"/>
      <c r="BY6" s="50"/>
      <c r="BZ6" s="54"/>
      <c r="CA6" s="52"/>
      <c r="CB6" s="221">
        <f aca="true" t="shared" si="1" ref="CB6:CB24">C6+F6+I6+L6+P6+AK6+AN6+AQ6+AV6+AY6+BB6+BE6+BI6+BL6+BO6+BR6+BV6+BY6+AB6</f>
        <v>300</v>
      </c>
      <c r="CC6" s="740">
        <f aca="true" t="shared" si="2" ref="CC6:CC24">D6+G6+J6+M6+Q6+AL6+AO6+AR6+AW6+AZ6+BC6+BF6+BJ6+BM6+BP6+BS6+BW6+BZ6+AC6</f>
        <v>100.20186</v>
      </c>
      <c r="CD6" s="89">
        <f aca="true" t="shared" si="3" ref="CD6:CD27">(CC6/CB6)*100</f>
        <v>33.400619999999996</v>
      </c>
      <c r="CE6" s="53"/>
      <c r="CF6" s="54"/>
      <c r="CG6" s="52"/>
      <c r="CH6" s="50"/>
      <c r="CI6" s="54"/>
      <c r="CJ6" s="51"/>
      <c r="CK6" s="415">
        <f aca="true" t="shared" si="4" ref="CK6:CK24">CB6+CE6+CH6</f>
        <v>300</v>
      </c>
      <c r="CL6" s="665">
        <f aca="true" t="shared" si="5" ref="CL6:CL24">CC6+CF6+CI6</f>
        <v>100.20186</v>
      </c>
      <c r="CM6" s="59">
        <f aca="true" t="shared" si="6" ref="CM6:CM27">(CL6/CK6)*100</f>
        <v>33.400619999999996</v>
      </c>
      <c r="CO6" s="1"/>
    </row>
    <row r="7" spans="1:93" ht="21" thickBot="1">
      <c r="A7" s="411" t="s">
        <v>3</v>
      </c>
      <c r="B7" s="411" t="s">
        <v>4</v>
      </c>
      <c r="C7" s="62"/>
      <c r="D7" s="61"/>
      <c r="E7" s="64"/>
      <c r="F7" s="62">
        <v>225</v>
      </c>
      <c r="G7" s="68">
        <v>37.91435</v>
      </c>
      <c r="H7" s="52">
        <f t="shared" si="0"/>
        <v>16.850822222222224</v>
      </c>
      <c r="I7" s="60"/>
      <c r="J7" s="63"/>
      <c r="K7" s="51"/>
      <c r="L7" s="60"/>
      <c r="M7" s="63"/>
      <c r="N7" s="70"/>
      <c r="O7" s="427" t="s">
        <v>4</v>
      </c>
      <c r="P7" s="62"/>
      <c r="Q7" s="63"/>
      <c r="R7" s="52"/>
      <c r="S7" s="60"/>
      <c r="T7" s="63"/>
      <c r="U7" s="64"/>
      <c r="V7" s="62"/>
      <c r="W7" s="63"/>
      <c r="X7" s="52"/>
      <c r="Y7" s="60"/>
      <c r="Z7" s="63"/>
      <c r="AA7" s="65"/>
      <c r="AB7" s="60"/>
      <c r="AC7" s="254"/>
      <c r="AD7" s="89"/>
      <c r="AE7" s="60"/>
      <c r="AF7" s="63"/>
      <c r="AG7" s="52"/>
      <c r="AH7" s="60"/>
      <c r="AI7" s="63"/>
      <c r="AJ7" s="65"/>
      <c r="AK7" s="60"/>
      <c r="AL7" s="63"/>
      <c r="AM7" s="52"/>
      <c r="AN7" s="60"/>
      <c r="AO7" s="63"/>
      <c r="AP7" s="139"/>
      <c r="AQ7" s="60"/>
      <c r="AR7" s="63"/>
      <c r="AS7" s="52"/>
      <c r="AT7" s="66"/>
      <c r="AU7" s="411" t="s">
        <v>4</v>
      </c>
      <c r="AV7" s="62"/>
      <c r="AW7" s="63"/>
      <c r="AX7" s="52"/>
      <c r="AY7" s="60"/>
      <c r="AZ7" s="63"/>
      <c r="BA7" s="52"/>
      <c r="BB7" s="60"/>
      <c r="BC7" s="63"/>
      <c r="BD7" s="52"/>
      <c r="BE7" s="60"/>
      <c r="BF7" s="63"/>
      <c r="BG7" s="51"/>
      <c r="BH7" s="411" t="s">
        <v>4</v>
      </c>
      <c r="BI7" s="62"/>
      <c r="BJ7" s="63"/>
      <c r="BK7" s="64"/>
      <c r="BL7" s="60"/>
      <c r="BM7" s="63"/>
      <c r="BN7" s="64"/>
      <c r="BO7" s="60"/>
      <c r="BP7" s="63"/>
      <c r="BQ7" s="64"/>
      <c r="BR7" s="60"/>
      <c r="BS7" s="63"/>
      <c r="BT7" s="51"/>
      <c r="BU7" s="411" t="s">
        <v>4</v>
      </c>
      <c r="BV7" s="62"/>
      <c r="BW7" s="63"/>
      <c r="BX7" s="52"/>
      <c r="BY7" s="60"/>
      <c r="BZ7" s="63"/>
      <c r="CA7" s="52"/>
      <c r="CB7" s="183">
        <f t="shared" si="1"/>
        <v>225</v>
      </c>
      <c r="CC7" s="741">
        <f t="shared" si="2"/>
        <v>37.91435</v>
      </c>
      <c r="CD7" s="64">
        <f t="shared" si="3"/>
        <v>16.850822222222224</v>
      </c>
      <c r="CE7" s="62"/>
      <c r="CF7" s="63"/>
      <c r="CG7" s="52"/>
      <c r="CH7" s="60"/>
      <c r="CI7" s="63"/>
      <c r="CJ7" s="51"/>
      <c r="CK7" s="416">
        <f t="shared" si="4"/>
        <v>225</v>
      </c>
      <c r="CL7" s="666">
        <f t="shared" si="5"/>
        <v>37.91435</v>
      </c>
      <c r="CM7" s="59">
        <f t="shared" si="6"/>
        <v>16.850822222222224</v>
      </c>
      <c r="CO7" s="1"/>
    </row>
    <row r="8" spans="1:93" ht="21" thickBot="1">
      <c r="A8" s="411" t="s">
        <v>5</v>
      </c>
      <c r="B8" s="411" t="s">
        <v>6</v>
      </c>
      <c r="C8" s="159"/>
      <c r="D8" s="61"/>
      <c r="E8" s="64"/>
      <c r="F8" s="62"/>
      <c r="G8" s="68"/>
      <c r="H8" s="52"/>
      <c r="I8" s="60"/>
      <c r="J8" s="63"/>
      <c r="K8" s="51"/>
      <c r="L8" s="60"/>
      <c r="M8" s="63"/>
      <c r="N8" s="70"/>
      <c r="O8" s="427" t="s">
        <v>6</v>
      </c>
      <c r="P8" s="62"/>
      <c r="Q8" s="68"/>
      <c r="R8" s="52"/>
      <c r="S8" s="60"/>
      <c r="T8" s="63"/>
      <c r="U8" s="64"/>
      <c r="V8" s="62"/>
      <c r="W8" s="63"/>
      <c r="X8" s="52"/>
      <c r="Y8" s="60"/>
      <c r="Z8" s="63"/>
      <c r="AA8" s="65"/>
      <c r="AB8" s="60"/>
      <c r="AC8" s="63"/>
      <c r="AD8" s="89"/>
      <c r="AE8" s="60"/>
      <c r="AF8" s="63"/>
      <c r="AG8" s="52"/>
      <c r="AH8" s="60"/>
      <c r="AI8" s="63"/>
      <c r="AJ8" s="65"/>
      <c r="AK8" s="60"/>
      <c r="AL8" s="63"/>
      <c r="AM8" s="52"/>
      <c r="AN8" s="60"/>
      <c r="AO8" s="63"/>
      <c r="AP8" s="139"/>
      <c r="AQ8" s="60"/>
      <c r="AR8" s="63"/>
      <c r="AS8" s="52"/>
      <c r="AT8" s="66"/>
      <c r="AU8" s="411" t="s">
        <v>6</v>
      </c>
      <c r="AV8" s="62"/>
      <c r="AW8" s="68"/>
      <c r="AX8" s="52"/>
      <c r="AY8" s="60"/>
      <c r="AZ8" s="63"/>
      <c r="BA8" s="52"/>
      <c r="BB8" s="60"/>
      <c r="BC8" s="63"/>
      <c r="BD8" s="52"/>
      <c r="BE8" s="60"/>
      <c r="BF8" s="63"/>
      <c r="BG8" s="51"/>
      <c r="BH8" s="411" t="s">
        <v>6</v>
      </c>
      <c r="BI8" s="62"/>
      <c r="BJ8" s="63"/>
      <c r="BK8" s="52"/>
      <c r="BL8" s="60"/>
      <c r="BM8" s="63"/>
      <c r="BN8" s="64"/>
      <c r="BO8" s="60"/>
      <c r="BP8" s="63"/>
      <c r="BQ8" s="64"/>
      <c r="BR8" s="60"/>
      <c r="BS8" s="63"/>
      <c r="BT8" s="51"/>
      <c r="BU8" s="411" t="s">
        <v>6</v>
      </c>
      <c r="BV8" s="62"/>
      <c r="BW8" s="63"/>
      <c r="BX8" s="52"/>
      <c r="BY8" s="60"/>
      <c r="BZ8" s="63"/>
      <c r="CA8" s="52"/>
      <c r="CB8" s="183">
        <f t="shared" si="1"/>
        <v>0</v>
      </c>
      <c r="CC8" s="741">
        <f t="shared" si="2"/>
        <v>0</v>
      </c>
      <c r="CD8" s="64"/>
      <c r="CE8" s="62"/>
      <c r="CF8" s="63"/>
      <c r="CG8" s="52"/>
      <c r="CH8" s="60"/>
      <c r="CI8" s="63"/>
      <c r="CJ8" s="51"/>
      <c r="CK8" s="416">
        <f t="shared" si="4"/>
        <v>0</v>
      </c>
      <c r="CL8" s="666">
        <f t="shared" si="5"/>
        <v>0</v>
      </c>
      <c r="CM8" s="59"/>
      <c r="CO8" s="1"/>
    </row>
    <row r="9" spans="1:93" ht="21" thickBot="1">
      <c r="A9" s="411" t="s">
        <v>7</v>
      </c>
      <c r="B9" s="411" t="s">
        <v>8</v>
      </c>
      <c r="C9" s="62"/>
      <c r="D9" s="61"/>
      <c r="E9" s="64"/>
      <c r="F9" s="62">
        <v>40</v>
      </c>
      <c r="G9" s="68">
        <v>16.06212</v>
      </c>
      <c r="H9" s="52">
        <f t="shared" si="0"/>
        <v>40.1553</v>
      </c>
      <c r="I9" s="60"/>
      <c r="J9" s="63"/>
      <c r="K9" s="51"/>
      <c r="L9" s="60"/>
      <c r="M9" s="63"/>
      <c r="N9" s="70"/>
      <c r="O9" s="427" t="s">
        <v>8</v>
      </c>
      <c r="P9" s="62"/>
      <c r="Q9" s="63"/>
      <c r="R9" s="52"/>
      <c r="S9" s="60"/>
      <c r="T9" s="63"/>
      <c r="U9" s="64"/>
      <c r="V9" s="62"/>
      <c r="W9" s="63"/>
      <c r="X9" s="52"/>
      <c r="Y9" s="60"/>
      <c r="Z9" s="63"/>
      <c r="AA9" s="65"/>
      <c r="AB9" s="60"/>
      <c r="AC9" s="63"/>
      <c r="AD9" s="89"/>
      <c r="AE9" s="60"/>
      <c r="AF9" s="63"/>
      <c r="AG9" s="52"/>
      <c r="AH9" s="60"/>
      <c r="AI9" s="63"/>
      <c r="AJ9" s="65"/>
      <c r="AK9" s="60"/>
      <c r="AL9" s="63"/>
      <c r="AM9" s="52"/>
      <c r="AN9" s="60"/>
      <c r="AO9" s="63"/>
      <c r="AP9" s="139"/>
      <c r="AQ9" s="60"/>
      <c r="AR9" s="63"/>
      <c r="AS9" s="52"/>
      <c r="AT9" s="66"/>
      <c r="AU9" s="411" t="s">
        <v>8</v>
      </c>
      <c r="AV9" s="62"/>
      <c r="AW9" s="63"/>
      <c r="AX9" s="52"/>
      <c r="AY9" s="60"/>
      <c r="AZ9" s="63"/>
      <c r="BA9" s="52"/>
      <c r="BB9" s="60"/>
      <c r="BC9" s="63"/>
      <c r="BD9" s="52"/>
      <c r="BE9" s="60"/>
      <c r="BF9" s="63"/>
      <c r="BG9" s="51"/>
      <c r="BH9" s="411" t="s">
        <v>8</v>
      </c>
      <c r="BI9" s="62"/>
      <c r="BJ9" s="63"/>
      <c r="BK9" s="52"/>
      <c r="BL9" s="60"/>
      <c r="BM9" s="63"/>
      <c r="BN9" s="64"/>
      <c r="BO9" s="60"/>
      <c r="BP9" s="63"/>
      <c r="BQ9" s="64"/>
      <c r="BR9" s="60"/>
      <c r="BS9" s="63"/>
      <c r="BT9" s="51"/>
      <c r="BU9" s="411" t="s">
        <v>8</v>
      </c>
      <c r="BV9" s="62"/>
      <c r="BW9" s="63"/>
      <c r="BX9" s="52"/>
      <c r="BY9" s="60"/>
      <c r="BZ9" s="63"/>
      <c r="CA9" s="52"/>
      <c r="CB9" s="183">
        <f t="shared" si="1"/>
        <v>40</v>
      </c>
      <c r="CC9" s="741">
        <f t="shared" si="2"/>
        <v>16.06212</v>
      </c>
      <c r="CD9" s="64">
        <f t="shared" si="3"/>
        <v>40.1553</v>
      </c>
      <c r="CE9" s="62"/>
      <c r="CF9" s="63"/>
      <c r="CG9" s="52"/>
      <c r="CH9" s="60"/>
      <c r="CI9" s="63"/>
      <c r="CJ9" s="51"/>
      <c r="CK9" s="416">
        <f t="shared" si="4"/>
        <v>40</v>
      </c>
      <c r="CL9" s="666">
        <f t="shared" si="5"/>
        <v>16.06212</v>
      </c>
      <c r="CM9" s="59">
        <f t="shared" si="6"/>
        <v>40.1553</v>
      </c>
      <c r="CO9" s="1"/>
    </row>
    <row r="10" spans="1:93" ht="21" thickBot="1">
      <c r="A10" s="411" t="s">
        <v>9</v>
      </c>
      <c r="B10" s="411" t="s">
        <v>10</v>
      </c>
      <c r="C10" s="62"/>
      <c r="D10" s="61"/>
      <c r="E10" s="64"/>
      <c r="F10" s="62">
        <v>180</v>
      </c>
      <c r="G10" s="68">
        <v>53.42147</v>
      </c>
      <c r="H10" s="52">
        <f t="shared" si="0"/>
        <v>29.678594444444446</v>
      </c>
      <c r="I10" s="60"/>
      <c r="J10" s="63"/>
      <c r="K10" s="51"/>
      <c r="L10" s="60"/>
      <c r="M10" s="63"/>
      <c r="N10" s="70"/>
      <c r="O10" s="427" t="s">
        <v>10</v>
      </c>
      <c r="P10" s="62"/>
      <c r="Q10" s="63"/>
      <c r="R10" s="52"/>
      <c r="S10" s="60"/>
      <c r="T10" s="63"/>
      <c r="U10" s="64"/>
      <c r="V10" s="62"/>
      <c r="W10" s="63"/>
      <c r="X10" s="52"/>
      <c r="Y10" s="60"/>
      <c r="Z10" s="63"/>
      <c r="AA10" s="65"/>
      <c r="AB10" s="60"/>
      <c r="AC10" s="63"/>
      <c r="AD10" s="89"/>
      <c r="AE10" s="60"/>
      <c r="AF10" s="63"/>
      <c r="AG10" s="52"/>
      <c r="AH10" s="60"/>
      <c r="AI10" s="63"/>
      <c r="AJ10" s="65"/>
      <c r="AK10" s="60"/>
      <c r="AL10" s="63"/>
      <c r="AM10" s="52"/>
      <c r="AN10" s="60"/>
      <c r="AO10" s="63"/>
      <c r="AP10" s="139"/>
      <c r="AQ10" s="60"/>
      <c r="AR10" s="63"/>
      <c r="AS10" s="52"/>
      <c r="AT10" s="66"/>
      <c r="AU10" s="411" t="s">
        <v>10</v>
      </c>
      <c r="AV10" s="62"/>
      <c r="AW10" s="63"/>
      <c r="AX10" s="52"/>
      <c r="AY10" s="60"/>
      <c r="AZ10" s="63"/>
      <c r="BA10" s="52"/>
      <c r="BB10" s="60">
        <v>20</v>
      </c>
      <c r="BC10" s="68">
        <v>30.8832</v>
      </c>
      <c r="BD10" s="98">
        <f>(BC10/BB10)*100</f>
        <v>154.416</v>
      </c>
      <c r="BE10" s="60"/>
      <c r="BF10" s="63"/>
      <c r="BG10" s="51"/>
      <c r="BH10" s="411" t="s">
        <v>10</v>
      </c>
      <c r="BI10" s="62"/>
      <c r="BJ10" s="63"/>
      <c r="BK10" s="52"/>
      <c r="BL10" s="60"/>
      <c r="BM10" s="63"/>
      <c r="BN10" s="64"/>
      <c r="BO10" s="60"/>
      <c r="BP10" s="63"/>
      <c r="BQ10" s="64"/>
      <c r="BR10" s="60"/>
      <c r="BS10" s="63"/>
      <c r="BT10" s="51"/>
      <c r="BU10" s="411" t="s">
        <v>10</v>
      </c>
      <c r="BV10" s="62"/>
      <c r="BW10" s="63"/>
      <c r="BX10" s="52"/>
      <c r="BY10" s="60"/>
      <c r="BZ10" s="63"/>
      <c r="CA10" s="52"/>
      <c r="CB10" s="183">
        <f>C10+F10+I10+L10+P10+AK10+AN10+AQ10+AV10+AY10+BB10+BE10+BI10+BL10+BO10+BR10+BV10+BY10+AB10</f>
        <v>200</v>
      </c>
      <c r="CC10" s="741">
        <f t="shared" si="2"/>
        <v>84.30467</v>
      </c>
      <c r="CD10" s="64">
        <f t="shared" si="3"/>
        <v>42.152335</v>
      </c>
      <c r="CE10" s="62"/>
      <c r="CF10" s="63"/>
      <c r="CG10" s="52"/>
      <c r="CH10" s="60"/>
      <c r="CI10" s="63"/>
      <c r="CJ10" s="51"/>
      <c r="CK10" s="416">
        <f t="shared" si="4"/>
        <v>200</v>
      </c>
      <c r="CL10" s="666">
        <f t="shared" si="5"/>
        <v>84.30467</v>
      </c>
      <c r="CM10" s="59">
        <f t="shared" si="6"/>
        <v>42.152335</v>
      </c>
      <c r="CO10" s="1"/>
    </row>
    <row r="11" spans="1:93" ht="21" thickBot="1">
      <c r="A11" s="411" t="s">
        <v>11</v>
      </c>
      <c r="B11" s="411" t="s">
        <v>12</v>
      </c>
      <c r="C11" s="62"/>
      <c r="D11" s="61"/>
      <c r="E11" s="64"/>
      <c r="F11" s="62">
        <v>150</v>
      </c>
      <c r="G11" s="68">
        <v>64.78181</v>
      </c>
      <c r="H11" s="52">
        <f t="shared" si="0"/>
        <v>43.18787333333333</v>
      </c>
      <c r="I11" s="60"/>
      <c r="J11" s="63"/>
      <c r="K11" s="70"/>
      <c r="L11" s="60"/>
      <c r="M11" s="63"/>
      <c r="N11" s="70"/>
      <c r="O11" s="427" t="s">
        <v>12</v>
      </c>
      <c r="P11" s="62"/>
      <c r="Q11" s="63"/>
      <c r="R11" s="52"/>
      <c r="S11" s="60"/>
      <c r="T11" s="63"/>
      <c r="U11" s="64"/>
      <c r="V11" s="62"/>
      <c r="W11" s="63"/>
      <c r="X11" s="52"/>
      <c r="Y11" s="60"/>
      <c r="Z11" s="63"/>
      <c r="AA11" s="65"/>
      <c r="AB11" s="60"/>
      <c r="AC11" s="63"/>
      <c r="AD11" s="89"/>
      <c r="AE11" s="60"/>
      <c r="AF11" s="63"/>
      <c r="AG11" s="52"/>
      <c r="AH11" s="60"/>
      <c r="AI11" s="63"/>
      <c r="AJ11" s="65"/>
      <c r="AK11" s="60"/>
      <c r="AL11" s="63"/>
      <c r="AM11" s="52"/>
      <c r="AN11" s="60"/>
      <c r="AO11" s="63"/>
      <c r="AP11" s="139"/>
      <c r="AQ11" s="60"/>
      <c r="AR11" s="63"/>
      <c r="AS11" s="52"/>
      <c r="AT11" s="66"/>
      <c r="AU11" s="411" t="s">
        <v>12</v>
      </c>
      <c r="AV11" s="62"/>
      <c r="AW11" s="63"/>
      <c r="AX11" s="52"/>
      <c r="AY11" s="60"/>
      <c r="AZ11" s="63"/>
      <c r="BA11" s="52"/>
      <c r="BB11" s="60"/>
      <c r="BC11" s="63"/>
      <c r="BD11" s="52"/>
      <c r="BE11" s="60"/>
      <c r="BF11" s="63"/>
      <c r="BG11" s="51"/>
      <c r="BH11" s="411" t="s">
        <v>12</v>
      </c>
      <c r="BI11" s="62"/>
      <c r="BJ11" s="63"/>
      <c r="BK11" s="52"/>
      <c r="BL11" s="60"/>
      <c r="BM11" s="63"/>
      <c r="BN11" s="64"/>
      <c r="BO11" s="60"/>
      <c r="BP11" s="63"/>
      <c r="BQ11" s="64"/>
      <c r="BR11" s="60"/>
      <c r="BS11" s="68"/>
      <c r="BT11" s="51"/>
      <c r="BU11" s="411" t="s">
        <v>12</v>
      </c>
      <c r="BV11" s="62"/>
      <c r="BW11" s="63"/>
      <c r="BX11" s="52"/>
      <c r="BY11" s="60"/>
      <c r="BZ11" s="63"/>
      <c r="CA11" s="52"/>
      <c r="CB11" s="183">
        <f t="shared" si="1"/>
        <v>150</v>
      </c>
      <c r="CC11" s="741">
        <f t="shared" si="2"/>
        <v>64.78181</v>
      </c>
      <c r="CD11" s="64">
        <f t="shared" si="3"/>
        <v>43.18787333333333</v>
      </c>
      <c r="CE11" s="62"/>
      <c r="CF11" s="63"/>
      <c r="CG11" s="52"/>
      <c r="CH11" s="60"/>
      <c r="CI11" s="63"/>
      <c r="CJ11" s="51"/>
      <c r="CK11" s="416">
        <f t="shared" si="4"/>
        <v>150</v>
      </c>
      <c r="CL11" s="666">
        <f t="shared" si="5"/>
        <v>64.78181</v>
      </c>
      <c r="CM11" s="59">
        <f t="shared" si="6"/>
        <v>43.18787333333333</v>
      </c>
      <c r="CO11" s="1"/>
    </row>
    <row r="12" spans="1:93" ht="21" thickBot="1">
      <c r="A12" s="411" t="s">
        <v>13</v>
      </c>
      <c r="B12" s="411" t="s">
        <v>14</v>
      </c>
      <c r="C12" s="62"/>
      <c r="D12" s="61"/>
      <c r="E12" s="64"/>
      <c r="F12" s="62">
        <v>80</v>
      </c>
      <c r="G12" s="68">
        <v>41.05679</v>
      </c>
      <c r="H12" s="52">
        <f t="shared" si="0"/>
        <v>51.3209875</v>
      </c>
      <c r="I12" s="60"/>
      <c r="J12" s="68"/>
      <c r="K12" s="51"/>
      <c r="L12" s="60"/>
      <c r="M12" s="63"/>
      <c r="N12" s="70"/>
      <c r="O12" s="427" t="s">
        <v>14</v>
      </c>
      <c r="P12" s="62"/>
      <c r="Q12" s="63"/>
      <c r="R12" s="52"/>
      <c r="S12" s="60"/>
      <c r="T12" s="63"/>
      <c r="U12" s="64"/>
      <c r="V12" s="62"/>
      <c r="W12" s="63"/>
      <c r="X12" s="52"/>
      <c r="Y12" s="60"/>
      <c r="Z12" s="63"/>
      <c r="AA12" s="65"/>
      <c r="AB12" s="60"/>
      <c r="AC12" s="63"/>
      <c r="AD12" s="89"/>
      <c r="AE12" s="60"/>
      <c r="AF12" s="63"/>
      <c r="AG12" s="52"/>
      <c r="AH12" s="60"/>
      <c r="AI12" s="63"/>
      <c r="AJ12" s="65"/>
      <c r="AK12" s="60"/>
      <c r="AL12" s="63"/>
      <c r="AM12" s="52"/>
      <c r="AN12" s="60"/>
      <c r="AO12" s="63"/>
      <c r="AP12" s="139"/>
      <c r="AQ12" s="60"/>
      <c r="AR12" s="63"/>
      <c r="AS12" s="52"/>
      <c r="AT12" s="66"/>
      <c r="AU12" s="411" t="s">
        <v>14</v>
      </c>
      <c r="AV12" s="62"/>
      <c r="AW12" s="63"/>
      <c r="AX12" s="52"/>
      <c r="AY12" s="60"/>
      <c r="AZ12" s="63"/>
      <c r="BA12" s="52"/>
      <c r="BB12" s="60"/>
      <c r="BC12" s="63"/>
      <c r="BD12" s="52"/>
      <c r="BE12" s="60"/>
      <c r="BF12" s="63"/>
      <c r="BG12" s="51"/>
      <c r="BH12" s="411" t="s">
        <v>14</v>
      </c>
      <c r="BI12" s="62"/>
      <c r="BJ12" s="63"/>
      <c r="BK12" s="52"/>
      <c r="BL12" s="60"/>
      <c r="BM12" s="63"/>
      <c r="BN12" s="64"/>
      <c r="BO12" s="60"/>
      <c r="BP12" s="63"/>
      <c r="BQ12" s="64"/>
      <c r="BR12" s="60"/>
      <c r="BS12" s="63"/>
      <c r="BT12" s="51"/>
      <c r="BU12" s="411" t="s">
        <v>14</v>
      </c>
      <c r="BV12" s="62"/>
      <c r="BW12" s="63"/>
      <c r="BX12" s="52"/>
      <c r="BY12" s="60"/>
      <c r="BZ12" s="63"/>
      <c r="CA12" s="52"/>
      <c r="CB12" s="183">
        <f t="shared" si="1"/>
        <v>80</v>
      </c>
      <c r="CC12" s="741">
        <f t="shared" si="2"/>
        <v>41.05679</v>
      </c>
      <c r="CD12" s="64">
        <f t="shared" si="3"/>
        <v>51.3209875</v>
      </c>
      <c r="CE12" s="62"/>
      <c r="CF12" s="63"/>
      <c r="CG12" s="52"/>
      <c r="CH12" s="60"/>
      <c r="CI12" s="63"/>
      <c r="CJ12" s="51"/>
      <c r="CK12" s="416">
        <f t="shared" si="4"/>
        <v>80</v>
      </c>
      <c r="CL12" s="666">
        <f t="shared" si="5"/>
        <v>41.05679</v>
      </c>
      <c r="CM12" s="59">
        <f t="shared" si="6"/>
        <v>51.3209875</v>
      </c>
      <c r="CO12" s="1"/>
    </row>
    <row r="13" spans="1:93" ht="21" thickBot="1">
      <c r="A13" s="411" t="s">
        <v>15</v>
      </c>
      <c r="B13" s="411" t="s">
        <v>18</v>
      </c>
      <c r="C13" s="62"/>
      <c r="D13" s="61"/>
      <c r="E13" s="64" t="e">
        <f>(D13/C13)*100</f>
        <v>#DIV/0!</v>
      </c>
      <c r="F13" s="62">
        <v>140</v>
      </c>
      <c r="G13" s="68">
        <v>52.5958</v>
      </c>
      <c r="H13" s="52">
        <f t="shared" si="0"/>
        <v>37.56842857142857</v>
      </c>
      <c r="I13" s="60"/>
      <c r="J13" s="63"/>
      <c r="K13" s="51"/>
      <c r="L13" s="60"/>
      <c r="M13" s="63"/>
      <c r="N13" s="70"/>
      <c r="O13" s="427" t="s">
        <v>18</v>
      </c>
      <c r="P13" s="62"/>
      <c r="Q13" s="63"/>
      <c r="R13" s="52"/>
      <c r="S13" s="60"/>
      <c r="T13" s="63"/>
      <c r="U13" s="64"/>
      <c r="V13" s="62"/>
      <c r="W13" s="63"/>
      <c r="X13" s="52"/>
      <c r="Y13" s="60"/>
      <c r="Z13" s="63"/>
      <c r="AA13" s="65"/>
      <c r="AB13" s="60"/>
      <c r="AC13" s="254">
        <v>0.59</v>
      </c>
      <c r="AD13" s="89"/>
      <c r="AE13" s="60"/>
      <c r="AF13" s="63"/>
      <c r="AG13" s="52"/>
      <c r="AH13" s="60"/>
      <c r="AI13" s="63"/>
      <c r="AJ13" s="65"/>
      <c r="AK13" s="60"/>
      <c r="AL13" s="63"/>
      <c r="AM13" s="52"/>
      <c r="AN13" s="60"/>
      <c r="AO13" s="63"/>
      <c r="AP13" s="139"/>
      <c r="AQ13" s="60"/>
      <c r="AR13" s="63"/>
      <c r="AS13" s="52"/>
      <c r="AT13" s="66"/>
      <c r="AU13" s="411" t="s">
        <v>18</v>
      </c>
      <c r="AV13" s="62"/>
      <c r="AW13" s="68"/>
      <c r="AX13" s="52"/>
      <c r="AY13" s="60"/>
      <c r="AZ13" s="63"/>
      <c r="BA13" s="52"/>
      <c r="BB13" s="60"/>
      <c r="BC13" s="63"/>
      <c r="BD13" s="52"/>
      <c r="BE13" s="60"/>
      <c r="BF13" s="63"/>
      <c r="BG13" s="51"/>
      <c r="BH13" s="411" t="s">
        <v>18</v>
      </c>
      <c r="BI13" s="62"/>
      <c r="BJ13" s="63"/>
      <c r="BK13" s="52"/>
      <c r="BL13" s="60"/>
      <c r="BM13" s="63"/>
      <c r="BN13" s="64"/>
      <c r="BO13" s="60"/>
      <c r="BP13" s="63"/>
      <c r="BQ13" s="75"/>
      <c r="BR13" s="60"/>
      <c r="BS13" s="63"/>
      <c r="BT13" s="51"/>
      <c r="BU13" s="411" t="s">
        <v>18</v>
      </c>
      <c r="BV13" s="62"/>
      <c r="BW13" s="63"/>
      <c r="BX13" s="52"/>
      <c r="BY13" s="60"/>
      <c r="BZ13" s="63"/>
      <c r="CA13" s="52"/>
      <c r="CB13" s="183">
        <f t="shared" si="1"/>
        <v>140</v>
      </c>
      <c r="CC13" s="741">
        <f t="shared" si="2"/>
        <v>53.1858</v>
      </c>
      <c r="CD13" s="64">
        <f t="shared" si="3"/>
        <v>37.98985714285714</v>
      </c>
      <c r="CE13" s="62"/>
      <c r="CF13" s="63"/>
      <c r="CG13" s="52"/>
      <c r="CH13" s="60"/>
      <c r="CI13" s="63"/>
      <c r="CJ13" s="51"/>
      <c r="CK13" s="416">
        <f t="shared" si="4"/>
        <v>140</v>
      </c>
      <c r="CL13" s="666">
        <f t="shared" si="5"/>
        <v>53.1858</v>
      </c>
      <c r="CM13" s="59">
        <f t="shared" si="6"/>
        <v>37.98985714285714</v>
      </c>
      <c r="CO13" s="1"/>
    </row>
    <row r="14" spans="1:93" ht="21" thickBot="1">
      <c r="A14" s="411" t="s">
        <v>16</v>
      </c>
      <c r="B14" s="411" t="s">
        <v>19</v>
      </c>
      <c r="C14" s="62"/>
      <c r="D14" s="61"/>
      <c r="E14" s="64"/>
      <c r="F14" s="62"/>
      <c r="G14" s="68"/>
      <c r="H14" s="52"/>
      <c r="I14" s="60"/>
      <c r="J14" s="63"/>
      <c r="K14" s="51"/>
      <c r="L14" s="60"/>
      <c r="M14" s="63"/>
      <c r="N14" s="70"/>
      <c r="O14" s="427" t="s">
        <v>19</v>
      </c>
      <c r="P14" s="62"/>
      <c r="Q14" s="63"/>
      <c r="R14" s="52"/>
      <c r="S14" s="60"/>
      <c r="T14" s="63"/>
      <c r="U14" s="64"/>
      <c r="V14" s="62"/>
      <c r="W14" s="63"/>
      <c r="X14" s="52"/>
      <c r="Y14" s="60"/>
      <c r="Z14" s="63"/>
      <c r="AA14" s="65"/>
      <c r="AB14" s="60"/>
      <c r="AC14" s="63"/>
      <c r="AD14" s="89"/>
      <c r="AE14" s="60"/>
      <c r="AF14" s="63"/>
      <c r="AG14" s="52"/>
      <c r="AH14" s="60"/>
      <c r="AI14" s="63"/>
      <c r="AJ14" s="65"/>
      <c r="AK14" s="60"/>
      <c r="AL14" s="63"/>
      <c r="AM14" s="52"/>
      <c r="AN14" s="60"/>
      <c r="AO14" s="63"/>
      <c r="AP14" s="139"/>
      <c r="AQ14" s="60"/>
      <c r="AR14" s="63"/>
      <c r="AS14" s="52"/>
      <c r="AT14" s="66"/>
      <c r="AU14" s="411" t="s">
        <v>19</v>
      </c>
      <c r="AV14" s="62"/>
      <c r="AW14" s="63"/>
      <c r="AX14" s="52"/>
      <c r="AY14" s="60"/>
      <c r="AZ14" s="63"/>
      <c r="BA14" s="52"/>
      <c r="BB14" s="60"/>
      <c r="BC14" s="63"/>
      <c r="BD14" s="52"/>
      <c r="BE14" s="60"/>
      <c r="BF14" s="63"/>
      <c r="BG14" s="51"/>
      <c r="BH14" s="411" t="s">
        <v>19</v>
      </c>
      <c r="BI14" s="62"/>
      <c r="BJ14" s="63"/>
      <c r="BK14" s="52"/>
      <c r="BL14" s="60"/>
      <c r="BM14" s="63"/>
      <c r="BN14" s="64"/>
      <c r="BO14" s="60"/>
      <c r="BP14" s="63"/>
      <c r="BQ14" s="64"/>
      <c r="BR14" s="60"/>
      <c r="BS14" s="63"/>
      <c r="BT14" s="51"/>
      <c r="BU14" s="411" t="s">
        <v>19</v>
      </c>
      <c r="BV14" s="62"/>
      <c r="BW14" s="63"/>
      <c r="BX14" s="52"/>
      <c r="BY14" s="60"/>
      <c r="BZ14" s="63"/>
      <c r="CA14" s="52"/>
      <c r="CB14" s="183">
        <f t="shared" si="1"/>
        <v>0</v>
      </c>
      <c r="CC14" s="741">
        <f t="shared" si="2"/>
        <v>0</v>
      </c>
      <c r="CD14" s="64"/>
      <c r="CE14" s="62"/>
      <c r="CF14" s="63"/>
      <c r="CG14" s="52"/>
      <c r="CH14" s="60"/>
      <c r="CI14" s="63"/>
      <c r="CJ14" s="51"/>
      <c r="CK14" s="416">
        <f t="shared" si="4"/>
        <v>0</v>
      </c>
      <c r="CL14" s="666">
        <f t="shared" si="5"/>
        <v>0</v>
      </c>
      <c r="CM14" s="59"/>
      <c r="CO14" s="1"/>
    </row>
    <row r="15" spans="1:93" ht="21" thickBot="1">
      <c r="A15" s="411" t="s">
        <v>17</v>
      </c>
      <c r="B15" s="411" t="s">
        <v>20</v>
      </c>
      <c r="C15" s="62"/>
      <c r="D15" s="61"/>
      <c r="E15" s="64"/>
      <c r="F15" s="62">
        <v>80</v>
      </c>
      <c r="G15" s="68">
        <v>34.52052</v>
      </c>
      <c r="H15" s="52">
        <f t="shared" si="0"/>
        <v>43.15065</v>
      </c>
      <c r="I15" s="60"/>
      <c r="J15" s="63"/>
      <c r="K15" s="51"/>
      <c r="L15" s="60"/>
      <c r="M15" s="63"/>
      <c r="N15" s="70"/>
      <c r="O15" s="427" t="s">
        <v>20</v>
      </c>
      <c r="P15" s="62"/>
      <c r="Q15" s="63"/>
      <c r="R15" s="52"/>
      <c r="S15" s="60"/>
      <c r="T15" s="63"/>
      <c r="U15" s="64"/>
      <c r="V15" s="62"/>
      <c r="W15" s="63"/>
      <c r="X15" s="52"/>
      <c r="Y15" s="60"/>
      <c r="Z15" s="63"/>
      <c r="AA15" s="65"/>
      <c r="AB15" s="60"/>
      <c r="AC15" s="63"/>
      <c r="AD15" s="89"/>
      <c r="AE15" s="60"/>
      <c r="AF15" s="63"/>
      <c r="AG15" s="52"/>
      <c r="AH15" s="60"/>
      <c r="AI15" s="63"/>
      <c r="AJ15" s="65"/>
      <c r="AK15" s="60"/>
      <c r="AL15" s="63"/>
      <c r="AM15" s="52"/>
      <c r="AN15" s="60"/>
      <c r="AO15" s="63"/>
      <c r="AP15" s="140"/>
      <c r="AQ15" s="60"/>
      <c r="AR15" s="63"/>
      <c r="AS15" s="52"/>
      <c r="AT15" s="66"/>
      <c r="AU15" s="411" t="s">
        <v>20</v>
      </c>
      <c r="AV15" s="62"/>
      <c r="AW15" s="63"/>
      <c r="AX15" s="52"/>
      <c r="AY15" s="60"/>
      <c r="AZ15" s="63"/>
      <c r="BA15" s="52"/>
      <c r="BB15" s="60"/>
      <c r="BC15" s="63"/>
      <c r="BD15" s="52"/>
      <c r="BE15" s="60"/>
      <c r="BF15" s="63"/>
      <c r="BG15" s="51"/>
      <c r="BH15" s="411" t="s">
        <v>20</v>
      </c>
      <c r="BI15" s="62"/>
      <c r="BJ15" s="63"/>
      <c r="BK15" s="52"/>
      <c r="BL15" s="60"/>
      <c r="BM15" s="63"/>
      <c r="BN15" s="64"/>
      <c r="BO15" s="60"/>
      <c r="BP15" s="63"/>
      <c r="BQ15" s="64"/>
      <c r="BR15" s="60"/>
      <c r="BS15" s="63"/>
      <c r="BT15" s="51"/>
      <c r="BU15" s="411" t="s">
        <v>20</v>
      </c>
      <c r="BV15" s="62"/>
      <c r="BW15" s="63"/>
      <c r="BX15" s="52"/>
      <c r="BY15" s="60"/>
      <c r="BZ15" s="63"/>
      <c r="CA15" s="52"/>
      <c r="CB15" s="183">
        <f t="shared" si="1"/>
        <v>80</v>
      </c>
      <c r="CC15" s="741">
        <f t="shared" si="2"/>
        <v>34.52052</v>
      </c>
      <c r="CD15" s="64">
        <f t="shared" si="3"/>
        <v>43.15065</v>
      </c>
      <c r="CE15" s="62"/>
      <c r="CF15" s="63"/>
      <c r="CG15" s="52"/>
      <c r="CH15" s="60"/>
      <c r="CI15" s="63"/>
      <c r="CJ15" s="51"/>
      <c r="CK15" s="416">
        <f t="shared" si="4"/>
        <v>80</v>
      </c>
      <c r="CL15" s="666">
        <f t="shared" si="5"/>
        <v>34.52052</v>
      </c>
      <c r="CM15" s="59">
        <f t="shared" si="6"/>
        <v>43.15065</v>
      </c>
      <c r="CO15" s="1"/>
    </row>
    <row r="16" spans="1:93" ht="21" thickBot="1">
      <c r="A16" s="411" t="s">
        <v>21</v>
      </c>
      <c r="B16" s="411" t="s">
        <v>30</v>
      </c>
      <c r="C16" s="159"/>
      <c r="D16" s="70"/>
      <c r="E16" s="64"/>
      <c r="F16" s="62"/>
      <c r="G16" s="68"/>
      <c r="H16" s="52"/>
      <c r="I16" s="67"/>
      <c r="J16" s="63"/>
      <c r="K16" s="51"/>
      <c r="L16" s="60"/>
      <c r="M16" s="63"/>
      <c r="N16" s="70"/>
      <c r="O16" s="427" t="s">
        <v>30</v>
      </c>
      <c r="P16" s="62"/>
      <c r="Q16" s="63"/>
      <c r="R16" s="52"/>
      <c r="S16" s="60"/>
      <c r="T16" s="63"/>
      <c r="U16" s="64"/>
      <c r="V16" s="62"/>
      <c r="W16" s="63"/>
      <c r="X16" s="52"/>
      <c r="Y16" s="60"/>
      <c r="Z16" s="63"/>
      <c r="AA16" s="65"/>
      <c r="AB16" s="60"/>
      <c r="AC16" s="63"/>
      <c r="AD16" s="89"/>
      <c r="AE16" s="60"/>
      <c r="AF16" s="63"/>
      <c r="AG16" s="52"/>
      <c r="AH16" s="60"/>
      <c r="AI16" s="63"/>
      <c r="AJ16" s="65"/>
      <c r="AK16" s="60"/>
      <c r="AL16" s="63"/>
      <c r="AM16" s="52"/>
      <c r="AN16" s="60"/>
      <c r="AO16" s="54"/>
      <c r="AP16" s="139"/>
      <c r="AQ16" s="60"/>
      <c r="AR16" s="63"/>
      <c r="AS16" s="52"/>
      <c r="AT16" s="66"/>
      <c r="AU16" s="411" t="s">
        <v>30</v>
      </c>
      <c r="AV16" s="62"/>
      <c r="AW16" s="63"/>
      <c r="AX16" s="52"/>
      <c r="AY16" s="60"/>
      <c r="AZ16" s="63"/>
      <c r="BA16" s="52"/>
      <c r="BB16" s="60"/>
      <c r="BC16" s="63"/>
      <c r="BD16" s="52"/>
      <c r="BE16" s="60"/>
      <c r="BF16" s="63"/>
      <c r="BG16" s="51"/>
      <c r="BH16" s="411" t="s">
        <v>30</v>
      </c>
      <c r="BI16" s="62"/>
      <c r="BJ16" s="63"/>
      <c r="BK16" s="52"/>
      <c r="BL16" s="60"/>
      <c r="BM16" s="63"/>
      <c r="BN16" s="64"/>
      <c r="BO16" s="60"/>
      <c r="BP16" s="63"/>
      <c r="BQ16" s="64"/>
      <c r="BR16" s="60"/>
      <c r="BS16" s="63"/>
      <c r="BT16" s="51"/>
      <c r="BU16" s="411" t="s">
        <v>30</v>
      </c>
      <c r="BV16" s="62"/>
      <c r="BW16" s="63"/>
      <c r="BX16" s="52"/>
      <c r="BY16" s="60"/>
      <c r="BZ16" s="63"/>
      <c r="CA16" s="52"/>
      <c r="CB16" s="183">
        <f t="shared" si="1"/>
        <v>0</v>
      </c>
      <c r="CC16" s="741">
        <f t="shared" si="2"/>
        <v>0</v>
      </c>
      <c r="CD16" s="64"/>
      <c r="CE16" s="62"/>
      <c r="CF16" s="63"/>
      <c r="CG16" s="52"/>
      <c r="CH16" s="60"/>
      <c r="CI16" s="63"/>
      <c r="CJ16" s="51"/>
      <c r="CK16" s="416">
        <f t="shared" si="4"/>
        <v>0</v>
      </c>
      <c r="CL16" s="666">
        <f t="shared" si="5"/>
        <v>0</v>
      </c>
      <c r="CM16" s="59"/>
      <c r="CO16" s="1"/>
    </row>
    <row r="17" spans="1:93" ht="21" thickBot="1">
      <c r="A17" s="411" t="s">
        <v>22</v>
      </c>
      <c r="B17" s="411" t="s">
        <v>31</v>
      </c>
      <c r="C17" s="62"/>
      <c r="D17" s="61"/>
      <c r="E17" s="64" t="e">
        <f>(D17/C17)*100</f>
        <v>#DIV/0!</v>
      </c>
      <c r="F17" s="62">
        <v>30</v>
      </c>
      <c r="G17" s="68">
        <v>11.47074</v>
      </c>
      <c r="H17" s="52">
        <f t="shared" si="0"/>
        <v>38.2358</v>
      </c>
      <c r="I17" s="60"/>
      <c r="J17" s="63"/>
      <c r="K17" s="51"/>
      <c r="L17" s="60"/>
      <c r="M17" s="63"/>
      <c r="N17" s="70"/>
      <c r="O17" s="427" t="s">
        <v>31</v>
      </c>
      <c r="P17" s="62"/>
      <c r="Q17" s="68"/>
      <c r="R17" s="52"/>
      <c r="S17" s="60"/>
      <c r="T17" s="63"/>
      <c r="U17" s="64"/>
      <c r="V17" s="62"/>
      <c r="W17" s="63"/>
      <c r="X17" s="52"/>
      <c r="Y17" s="60"/>
      <c r="Z17" s="63"/>
      <c r="AA17" s="65"/>
      <c r="AB17" s="60"/>
      <c r="AC17" s="63"/>
      <c r="AD17" s="89"/>
      <c r="AE17" s="60"/>
      <c r="AF17" s="63"/>
      <c r="AG17" s="52"/>
      <c r="AH17" s="60"/>
      <c r="AI17" s="63"/>
      <c r="AJ17" s="65"/>
      <c r="AK17" s="60"/>
      <c r="AL17" s="63"/>
      <c r="AM17" s="52"/>
      <c r="AN17" s="60"/>
      <c r="AO17" s="63"/>
      <c r="AP17" s="139"/>
      <c r="AQ17" s="60"/>
      <c r="AR17" s="63"/>
      <c r="AS17" s="52"/>
      <c r="AT17" s="66"/>
      <c r="AU17" s="411" t="s">
        <v>31</v>
      </c>
      <c r="AV17" s="62"/>
      <c r="AW17" s="63"/>
      <c r="AX17" s="52"/>
      <c r="AY17" s="60"/>
      <c r="AZ17" s="63"/>
      <c r="BA17" s="52"/>
      <c r="BB17" s="60"/>
      <c r="BC17" s="63"/>
      <c r="BD17" s="52"/>
      <c r="BE17" s="60"/>
      <c r="BF17" s="63"/>
      <c r="BG17" s="51"/>
      <c r="BH17" s="411" t="s">
        <v>31</v>
      </c>
      <c r="BI17" s="62"/>
      <c r="BJ17" s="63"/>
      <c r="BK17" s="52"/>
      <c r="BL17" s="60"/>
      <c r="BM17" s="63"/>
      <c r="BN17" s="64"/>
      <c r="BO17" s="60"/>
      <c r="BP17" s="63"/>
      <c r="BQ17" s="64"/>
      <c r="BR17" s="60"/>
      <c r="BS17" s="63"/>
      <c r="BT17" s="51"/>
      <c r="BU17" s="411" t="s">
        <v>31</v>
      </c>
      <c r="BV17" s="62"/>
      <c r="BW17" s="63"/>
      <c r="BX17" s="52"/>
      <c r="BY17" s="60"/>
      <c r="BZ17" s="63"/>
      <c r="CA17" s="52"/>
      <c r="CB17" s="183">
        <f t="shared" si="1"/>
        <v>30</v>
      </c>
      <c r="CC17" s="741">
        <f t="shared" si="2"/>
        <v>11.47074</v>
      </c>
      <c r="CD17" s="64">
        <f t="shared" si="3"/>
        <v>38.2358</v>
      </c>
      <c r="CE17" s="62"/>
      <c r="CF17" s="63"/>
      <c r="CG17" s="52"/>
      <c r="CH17" s="60"/>
      <c r="CI17" s="63"/>
      <c r="CJ17" s="51"/>
      <c r="CK17" s="416">
        <f t="shared" si="4"/>
        <v>30</v>
      </c>
      <c r="CL17" s="666">
        <f t="shared" si="5"/>
        <v>11.47074</v>
      </c>
      <c r="CM17" s="59">
        <f t="shared" si="6"/>
        <v>38.2358</v>
      </c>
      <c r="CO17" s="1"/>
    </row>
    <row r="18" spans="1:93" ht="21" thickBot="1">
      <c r="A18" s="411" t="s">
        <v>23</v>
      </c>
      <c r="B18" s="411" t="s">
        <v>32</v>
      </c>
      <c r="C18" s="62"/>
      <c r="D18" s="61"/>
      <c r="E18" s="64"/>
      <c r="F18" s="62">
        <v>198</v>
      </c>
      <c r="G18" s="68">
        <v>40.64326</v>
      </c>
      <c r="H18" s="52">
        <f t="shared" si="0"/>
        <v>20.52689898989899</v>
      </c>
      <c r="I18" s="60"/>
      <c r="J18" s="68"/>
      <c r="K18" s="51"/>
      <c r="L18" s="60"/>
      <c r="M18" s="63"/>
      <c r="N18" s="70"/>
      <c r="O18" s="427" t="s">
        <v>32</v>
      </c>
      <c r="P18" s="62"/>
      <c r="Q18" s="63"/>
      <c r="R18" s="52"/>
      <c r="S18" s="60"/>
      <c r="T18" s="63"/>
      <c r="U18" s="64"/>
      <c r="V18" s="62"/>
      <c r="W18" s="63"/>
      <c r="X18" s="52"/>
      <c r="Y18" s="60"/>
      <c r="Z18" s="63"/>
      <c r="AA18" s="65"/>
      <c r="AB18" s="60"/>
      <c r="AC18" s="63"/>
      <c r="AD18" s="89"/>
      <c r="AE18" s="60"/>
      <c r="AF18" s="63"/>
      <c r="AG18" s="52"/>
      <c r="AH18" s="60"/>
      <c r="AI18" s="63"/>
      <c r="AJ18" s="65"/>
      <c r="AK18" s="60"/>
      <c r="AL18" s="63"/>
      <c r="AM18" s="52"/>
      <c r="AN18" s="60"/>
      <c r="AO18" s="63"/>
      <c r="AP18" s="139"/>
      <c r="AQ18" s="60"/>
      <c r="AR18" s="63"/>
      <c r="AS18" s="52"/>
      <c r="AT18" s="66"/>
      <c r="AU18" s="411" t="s">
        <v>32</v>
      </c>
      <c r="AV18" s="62"/>
      <c r="AW18" s="63"/>
      <c r="AX18" s="52"/>
      <c r="AY18" s="60"/>
      <c r="AZ18" s="63"/>
      <c r="BA18" s="52"/>
      <c r="BB18" s="60"/>
      <c r="BC18" s="63"/>
      <c r="BD18" s="52"/>
      <c r="BE18" s="60"/>
      <c r="BF18" s="63"/>
      <c r="BG18" s="51"/>
      <c r="BH18" s="411" t="s">
        <v>32</v>
      </c>
      <c r="BI18" s="62"/>
      <c r="BJ18" s="63"/>
      <c r="BK18" s="52"/>
      <c r="BL18" s="60"/>
      <c r="BM18" s="63"/>
      <c r="BN18" s="64"/>
      <c r="BO18" s="60"/>
      <c r="BP18" s="63"/>
      <c r="BQ18" s="64"/>
      <c r="BR18" s="60"/>
      <c r="BS18" s="68"/>
      <c r="BT18" s="51"/>
      <c r="BU18" s="411" t="s">
        <v>32</v>
      </c>
      <c r="BV18" s="62"/>
      <c r="BW18" s="63"/>
      <c r="BX18" s="52"/>
      <c r="BY18" s="60"/>
      <c r="BZ18" s="63"/>
      <c r="CA18" s="52"/>
      <c r="CB18" s="183">
        <f t="shared" si="1"/>
        <v>198</v>
      </c>
      <c r="CC18" s="741">
        <f t="shared" si="2"/>
        <v>40.64326</v>
      </c>
      <c r="CD18" s="64">
        <f t="shared" si="3"/>
        <v>20.52689898989899</v>
      </c>
      <c r="CE18" s="62"/>
      <c r="CF18" s="63"/>
      <c r="CG18" s="52"/>
      <c r="CH18" s="60"/>
      <c r="CI18" s="63"/>
      <c r="CJ18" s="51"/>
      <c r="CK18" s="416">
        <f t="shared" si="4"/>
        <v>198</v>
      </c>
      <c r="CL18" s="666">
        <f t="shared" si="5"/>
        <v>40.64326</v>
      </c>
      <c r="CM18" s="59">
        <f t="shared" si="6"/>
        <v>20.52689898989899</v>
      </c>
      <c r="CO18" s="1"/>
    </row>
    <row r="19" spans="1:93" ht="21" thickBot="1">
      <c r="A19" s="411" t="s">
        <v>24</v>
      </c>
      <c r="B19" s="411" t="s">
        <v>33</v>
      </c>
      <c r="C19" s="159"/>
      <c r="D19" s="61"/>
      <c r="E19" s="64"/>
      <c r="F19" s="62">
        <v>36</v>
      </c>
      <c r="G19" s="68">
        <v>19.44315</v>
      </c>
      <c r="H19" s="52">
        <f t="shared" si="0"/>
        <v>54.00874999999999</v>
      </c>
      <c r="I19" s="60"/>
      <c r="J19" s="63"/>
      <c r="K19" s="51"/>
      <c r="L19" s="60"/>
      <c r="M19" s="63"/>
      <c r="N19" s="70"/>
      <c r="O19" s="427" t="s">
        <v>33</v>
      </c>
      <c r="P19" s="62"/>
      <c r="Q19" s="63"/>
      <c r="R19" s="52"/>
      <c r="S19" s="60"/>
      <c r="T19" s="63"/>
      <c r="U19" s="64"/>
      <c r="V19" s="62"/>
      <c r="W19" s="63"/>
      <c r="X19" s="52"/>
      <c r="Y19" s="60"/>
      <c r="Z19" s="63"/>
      <c r="AA19" s="65"/>
      <c r="AB19" s="60"/>
      <c r="AC19" s="63"/>
      <c r="AD19" s="89"/>
      <c r="AE19" s="60"/>
      <c r="AF19" s="63"/>
      <c r="AG19" s="52"/>
      <c r="AH19" s="60"/>
      <c r="AI19" s="63"/>
      <c r="AJ19" s="65"/>
      <c r="AK19" s="60"/>
      <c r="AL19" s="63"/>
      <c r="AM19" s="52"/>
      <c r="AN19" s="60"/>
      <c r="AO19" s="63"/>
      <c r="AP19" s="139"/>
      <c r="AQ19" s="60"/>
      <c r="AR19" s="63"/>
      <c r="AS19" s="52"/>
      <c r="AT19" s="66"/>
      <c r="AU19" s="411" t="s">
        <v>33</v>
      </c>
      <c r="AV19" s="62"/>
      <c r="AW19" s="63"/>
      <c r="AX19" s="52"/>
      <c r="AY19" s="60"/>
      <c r="AZ19" s="63"/>
      <c r="BA19" s="52"/>
      <c r="BB19" s="60"/>
      <c r="BC19" s="63"/>
      <c r="BD19" s="52"/>
      <c r="BE19" s="60"/>
      <c r="BF19" s="63"/>
      <c r="BG19" s="51"/>
      <c r="BH19" s="411" t="s">
        <v>33</v>
      </c>
      <c r="BI19" s="62"/>
      <c r="BJ19" s="63"/>
      <c r="BK19" s="52"/>
      <c r="BL19" s="60"/>
      <c r="BM19" s="63"/>
      <c r="BN19" s="64"/>
      <c r="BO19" s="60"/>
      <c r="BP19" s="63"/>
      <c r="BQ19" s="64"/>
      <c r="BR19" s="60"/>
      <c r="BS19" s="63"/>
      <c r="BT19" s="51"/>
      <c r="BU19" s="411" t="s">
        <v>33</v>
      </c>
      <c r="BV19" s="62"/>
      <c r="BW19" s="63"/>
      <c r="BX19" s="52"/>
      <c r="BY19" s="60"/>
      <c r="BZ19" s="63"/>
      <c r="CA19" s="52"/>
      <c r="CB19" s="183">
        <f t="shared" si="1"/>
        <v>36</v>
      </c>
      <c r="CC19" s="741">
        <f t="shared" si="2"/>
        <v>19.44315</v>
      </c>
      <c r="CD19" s="64">
        <f t="shared" si="3"/>
        <v>54.00874999999999</v>
      </c>
      <c r="CE19" s="62"/>
      <c r="CF19" s="63"/>
      <c r="CG19" s="52"/>
      <c r="CH19" s="60"/>
      <c r="CI19" s="63"/>
      <c r="CJ19" s="51"/>
      <c r="CK19" s="416">
        <f t="shared" si="4"/>
        <v>36</v>
      </c>
      <c r="CL19" s="666">
        <f t="shared" si="5"/>
        <v>19.44315</v>
      </c>
      <c r="CM19" s="59">
        <f t="shared" si="6"/>
        <v>54.00874999999999</v>
      </c>
      <c r="CO19" s="1"/>
    </row>
    <row r="20" spans="1:93" ht="21" thickBot="1">
      <c r="A20" s="411" t="s">
        <v>25</v>
      </c>
      <c r="B20" s="411" t="s">
        <v>34</v>
      </c>
      <c r="C20" s="159"/>
      <c r="D20" s="61"/>
      <c r="E20" s="64"/>
      <c r="F20" s="62">
        <v>375</v>
      </c>
      <c r="G20" s="68">
        <v>102.78622</v>
      </c>
      <c r="H20" s="52">
        <f t="shared" si="0"/>
        <v>27.409658666666665</v>
      </c>
      <c r="I20" s="60"/>
      <c r="J20" s="63"/>
      <c r="K20" s="51"/>
      <c r="L20" s="60"/>
      <c r="M20" s="63"/>
      <c r="N20" s="70"/>
      <c r="O20" s="427" t="s">
        <v>34</v>
      </c>
      <c r="P20" s="62"/>
      <c r="Q20" s="63"/>
      <c r="R20" s="52"/>
      <c r="S20" s="60"/>
      <c r="T20" s="63"/>
      <c r="U20" s="64"/>
      <c r="V20" s="62"/>
      <c r="W20" s="63"/>
      <c r="X20" s="52"/>
      <c r="Y20" s="60"/>
      <c r="Z20" s="63"/>
      <c r="AA20" s="65"/>
      <c r="AB20" s="60"/>
      <c r="AC20" s="63"/>
      <c r="AD20" s="89"/>
      <c r="AE20" s="60"/>
      <c r="AF20" s="63"/>
      <c r="AG20" s="52"/>
      <c r="AH20" s="60"/>
      <c r="AI20" s="63"/>
      <c r="AJ20" s="65"/>
      <c r="AK20" s="60"/>
      <c r="AL20" s="63"/>
      <c r="AM20" s="52"/>
      <c r="AN20" s="60"/>
      <c r="AO20" s="63"/>
      <c r="AP20" s="139"/>
      <c r="AQ20" s="60"/>
      <c r="AR20" s="63"/>
      <c r="AS20" s="52"/>
      <c r="AT20" s="69"/>
      <c r="AU20" s="411" t="s">
        <v>34</v>
      </c>
      <c r="AV20" s="159"/>
      <c r="AW20" s="63"/>
      <c r="AX20" s="52"/>
      <c r="AY20" s="60"/>
      <c r="AZ20" s="63"/>
      <c r="BA20" s="52"/>
      <c r="BB20" s="60"/>
      <c r="BC20" s="63"/>
      <c r="BD20" s="52"/>
      <c r="BE20" s="60"/>
      <c r="BF20" s="63"/>
      <c r="BG20" s="51"/>
      <c r="BH20" s="411" t="s">
        <v>34</v>
      </c>
      <c r="BI20" s="62"/>
      <c r="BJ20" s="63"/>
      <c r="BK20" s="52"/>
      <c r="BL20" s="60"/>
      <c r="BM20" s="63"/>
      <c r="BN20" s="64"/>
      <c r="BO20" s="60"/>
      <c r="BP20" s="63"/>
      <c r="BQ20" s="64"/>
      <c r="BR20" s="60"/>
      <c r="BS20" s="63"/>
      <c r="BT20" s="51"/>
      <c r="BU20" s="411" t="s">
        <v>34</v>
      </c>
      <c r="BV20" s="62"/>
      <c r="BW20" s="63"/>
      <c r="BX20" s="52"/>
      <c r="BY20" s="60"/>
      <c r="BZ20" s="63"/>
      <c r="CA20" s="52"/>
      <c r="CB20" s="183">
        <f t="shared" si="1"/>
        <v>375</v>
      </c>
      <c r="CC20" s="741">
        <f t="shared" si="2"/>
        <v>102.78622</v>
      </c>
      <c r="CD20" s="64">
        <f t="shared" si="3"/>
        <v>27.409658666666665</v>
      </c>
      <c r="CE20" s="62"/>
      <c r="CF20" s="63"/>
      <c r="CG20" s="52"/>
      <c r="CH20" s="60"/>
      <c r="CI20" s="63"/>
      <c r="CJ20" s="51"/>
      <c r="CK20" s="416">
        <f t="shared" si="4"/>
        <v>375</v>
      </c>
      <c r="CL20" s="666">
        <f t="shared" si="5"/>
        <v>102.78622</v>
      </c>
      <c r="CM20" s="59">
        <f t="shared" si="6"/>
        <v>27.409658666666665</v>
      </c>
      <c r="CO20" s="1"/>
    </row>
    <row r="21" spans="1:93" ht="21" thickBot="1">
      <c r="A21" s="411" t="s">
        <v>26</v>
      </c>
      <c r="B21" s="411" t="s">
        <v>35</v>
      </c>
      <c r="C21" s="159"/>
      <c r="D21" s="70"/>
      <c r="E21" s="64"/>
      <c r="F21" s="62">
        <v>130</v>
      </c>
      <c r="G21" s="68">
        <v>37.92041</v>
      </c>
      <c r="H21" s="52">
        <f t="shared" si="0"/>
        <v>29.16954615384615</v>
      </c>
      <c r="I21" s="60"/>
      <c r="J21" s="63"/>
      <c r="K21" s="51"/>
      <c r="L21" s="60"/>
      <c r="M21" s="63"/>
      <c r="N21" s="70"/>
      <c r="O21" s="427" t="s">
        <v>35</v>
      </c>
      <c r="P21" s="62"/>
      <c r="Q21" s="68"/>
      <c r="R21" s="52"/>
      <c r="S21" s="60"/>
      <c r="T21" s="63"/>
      <c r="U21" s="64"/>
      <c r="V21" s="62"/>
      <c r="W21" s="63"/>
      <c r="X21" s="52"/>
      <c r="Y21" s="60"/>
      <c r="Z21" s="63"/>
      <c r="AA21" s="65"/>
      <c r="AB21" s="60"/>
      <c r="AC21" s="63"/>
      <c r="AD21" s="89"/>
      <c r="AE21" s="60"/>
      <c r="AF21" s="63"/>
      <c r="AG21" s="52"/>
      <c r="AH21" s="60"/>
      <c r="AI21" s="63"/>
      <c r="AJ21" s="65"/>
      <c r="AK21" s="60"/>
      <c r="AL21" s="63"/>
      <c r="AM21" s="52"/>
      <c r="AN21" s="60"/>
      <c r="AO21" s="63"/>
      <c r="AP21" s="139"/>
      <c r="AQ21" s="60"/>
      <c r="AR21" s="63"/>
      <c r="AS21" s="52"/>
      <c r="AT21" s="66"/>
      <c r="AU21" s="411" t="s">
        <v>35</v>
      </c>
      <c r="AV21" s="62"/>
      <c r="AW21" s="68"/>
      <c r="AX21" s="52"/>
      <c r="AY21" s="60"/>
      <c r="AZ21" s="63"/>
      <c r="BA21" s="52"/>
      <c r="BB21" s="60"/>
      <c r="BC21" s="63"/>
      <c r="BD21" s="52"/>
      <c r="BE21" s="60"/>
      <c r="BF21" s="63"/>
      <c r="BG21" s="51"/>
      <c r="BH21" s="411" t="s">
        <v>35</v>
      </c>
      <c r="BI21" s="62"/>
      <c r="BJ21" s="63"/>
      <c r="BK21" s="52"/>
      <c r="BL21" s="60"/>
      <c r="BM21" s="63"/>
      <c r="BN21" s="64"/>
      <c r="BO21" s="60"/>
      <c r="BP21" s="68"/>
      <c r="BQ21" s="75"/>
      <c r="BR21" s="60"/>
      <c r="BS21" s="63"/>
      <c r="BT21" s="51"/>
      <c r="BU21" s="411" t="s">
        <v>35</v>
      </c>
      <c r="BV21" s="62"/>
      <c r="BW21" s="63"/>
      <c r="BX21" s="52"/>
      <c r="BY21" s="60"/>
      <c r="BZ21" s="63"/>
      <c r="CA21" s="52"/>
      <c r="CB21" s="183">
        <f t="shared" si="1"/>
        <v>130</v>
      </c>
      <c r="CC21" s="741">
        <f t="shared" si="2"/>
        <v>37.92041</v>
      </c>
      <c r="CD21" s="64">
        <f t="shared" si="3"/>
        <v>29.16954615384615</v>
      </c>
      <c r="CE21" s="62"/>
      <c r="CF21" s="63"/>
      <c r="CG21" s="52"/>
      <c r="CH21" s="60"/>
      <c r="CI21" s="63"/>
      <c r="CJ21" s="51"/>
      <c r="CK21" s="416">
        <f t="shared" si="4"/>
        <v>130</v>
      </c>
      <c r="CL21" s="666">
        <f t="shared" si="5"/>
        <v>37.92041</v>
      </c>
      <c r="CM21" s="59">
        <f t="shared" si="6"/>
        <v>29.16954615384615</v>
      </c>
      <c r="CO21" s="1"/>
    </row>
    <row r="22" spans="1:93" ht="21" thickBot="1">
      <c r="A22" s="411" t="s">
        <v>27</v>
      </c>
      <c r="B22" s="411" t="s">
        <v>36</v>
      </c>
      <c r="C22" s="62"/>
      <c r="D22" s="61"/>
      <c r="E22" s="64"/>
      <c r="F22" s="62">
        <v>250</v>
      </c>
      <c r="G22" s="68">
        <v>69.39247</v>
      </c>
      <c r="H22" s="52">
        <f t="shared" si="0"/>
        <v>27.756988</v>
      </c>
      <c r="I22" s="60"/>
      <c r="J22" s="63"/>
      <c r="K22" s="51"/>
      <c r="L22" s="60"/>
      <c r="M22" s="63"/>
      <c r="N22" s="70"/>
      <c r="O22" s="427" t="s">
        <v>36</v>
      </c>
      <c r="P22" s="62"/>
      <c r="Q22" s="63"/>
      <c r="R22" s="52"/>
      <c r="S22" s="60"/>
      <c r="T22" s="63"/>
      <c r="U22" s="64"/>
      <c r="V22" s="62"/>
      <c r="W22" s="63"/>
      <c r="X22" s="52"/>
      <c r="Y22" s="60"/>
      <c r="Z22" s="63"/>
      <c r="AA22" s="65"/>
      <c r="AB22" s="60"/>
      <c r="AC22" s="63"/>
      <c r="AD22" s="89"/>
      <c r="AE22" s="60"/>
      <c r="AF22" s="63"/>
      <c r="AG22" s="52"/>
      <c r="AH22" s="60"/>
      <c r="AI22" s="63"/>
      <c r="AJ22" s="65"/>
      <c r="AK22" s="60"/>
      <c r="AL22" s="63"/>
      <c r="AM22" s="52"/>
      <c r="AN22" s="60"/>
      <c r="AO22" s="63"/>
      <c r="AP22" s="139"/>
      <c r="AQ22" s="60"/>
      <c r="AR22" s="63"/>
      <c r="AS22" s="52"/>
      <c r="AT22" s="66"/>
      <c r="AU22" s="411" t="s">
        <v>36</v>
      </c>
      <c r="AV22" s="62"/>
      <c r="AW22" s="63"/>
      <c r="AX22" s="52"/>
      <c r="AY22" s="60"/>
      <c r="AZ22" s="63"/>
      <c r="BA22" s="52"/>
      <c r="BB22" s="60"/>
      <c r="BC22" s="63"/>
      <c r="BD22" s="52"/>
      <c r="BE22" s="60"/>
      <c r="BF22" s="63"/>
      <c r="BG22" s="51"/>
      <c r="BH22" s="411" t="s">
        <v>36</v>
      </c>
      <c r="BI22" s="62"/>
      <c r="BJ22" s="63"/>
      <c r="BK22" s="52"/>
      <c r="BL22" s="60"/>
      <c r="BM22" s="63"/>
      <c r="BN22" s="64"/>
      <c r="BO22" s="60"/>
      <c r="BP22" s="63"/>
      <c r="BQ22" s="64"/>
      <c r="BR22" s="60"/>
      <c r="BS22" s="63"/>
      <c r="BT22" s="51"/>
      <c r="BU22" s="411" t="s">
        <v>36</v>
      </c>
      <c r="BV22" s="62"/>
      <c r="BW22" s="63"/>
      <c r="BX22" s="52"/>
      <c r="BY22" s="60"/>
      <c r="BZ22" s="63"/>
      <c r="CA22" s="52"/>
      <c r="CB22" s="183">
        <f t="shared" si="1"/>
        <v>250</v>
      </c>
      <c r="CC22" s="741">
        <f t="shared" si="2"/>
        <v>69.39247</v>
      </c>
      <c r="CD22" s="64">
        <f t="shared" si="3"/>
        <v>27.756988</v>
      </c>
      <c r="CE22" s="62"/>
      <c r="CF22" s="63"/>
      <c r="CG22" s="52"/>
      <c r="CH22" s="60"/>
      <c r="CI22" s="63"/>
      <c r="CJ22" s="51"/>
      <c r="CK22" s="416">
        <f t="shared" si="4"/>
        <v>250</v>
      </c>
      <c r="CL22" s="666">
        <f t="shared" si="5"/>
        <v>69.39247</v>
      </c>
      <c r="CM22" s="59">
        <f t="shared" si="6"/>
        <v>27.756988</v>
      </c>
      <c r="CO22" s="1"/>
    </row>
    <row r="23" spans="1:93" ht="21" thickBot="1">
      <c r="A23" s="411" t="s">
        <v>28</v>
      </c>
      <c r="B23" s="411" t="s">
        <v>37</v>
      </c>
      <c r="C23" s="62"/>
      <c r="D23" s="61"/>
      <c r="E23" s="64"/>
      <c r="F23" s="62">
        <v>254</v>
      </c>
      <c r="G23" s="68">
        <v>85.53633</v>
      </c>
      <c r="H23" s="52">
        <f t="shared" si="0"/>
        <v>33.67572047244094</v>
      </c>
      <c r="I23" s="60"/>
      <c r="J23" s="63"/>
      <c r="K23" s="51"/>
      <c r="L23" s="60"/>
      <c r="M23" s="63"/>
      <c r="N23" s="70"/>
      <c r="O23" s="427" t="s">
        <v>37</v>
      </c>
      <c r="P23" s="62"/>
      <c r="Q23" s="68"/>
      <c r="R23" s="52"/>
      <c r="S23" s="60"/>
      <c r="T23" s="54"/>
      <c r="U23" s="64"/>
      <c r="V23" s="62"/>
      <c r="W23" s="63"/>
      <c r="X23" s="52"/>
      <c r="Y23" s="60"/>
      <c r="Z23" s="63"/>
      <c r="AA23" s="65"/>
      <c r="AB23" s="60"/>
      <c r="AC23" s="68"/>
      <c r="AD23" s="89" t="e">
        <f>(AC23/AB23)*100</f>
        <v>#DIV/0!</v>
      </c>
      <c r="AE23" s="60"/>
      <c r="AF23" s="63"/>
      <c r="AG23" s="52"/>
      <c r="AH23" s="60"/>
      <c r="AI23" s="63"/>
      <c r="AJ23" s="65"/>
      <c r="AK23" s="60"/>
      <c r="AL23" s="63"/>
      <c r="AM23" s="52"/>
      <c r="AN23" s="60"/>
      <c r="AO23" s="63"/>
      <c r="AP23" s="141"/>
      <c r="AQ23" s="60"/>
      <c r="AR23" s="63"/>
      <c r="AS23" s="52"/>
      <c r="AT23" s="66"/>
      <c r="AU23" s="411" t="s">
        <v>37</v>
      </c>
      <c r="AV23" s="62"/>
      <c r="AW23" s="63"/>
      <c r="AX23" s="52"/>
      <c r="AY23" s="60"/>
      <c r="AZ23" s="63"/>
      <c r="BA23" s="52"/>
      <c r="BB23" s="60"/>
      <c r="BC23" s="63"/>
      <c r="BD23" s="52"/>
      <c r="BE23" s="60"/>
      <c r="BF23" s="63"/>
      <c r="BG23" s="51"/>
      <c r="BH23" s="411" t="s">
        <v>37</v>
      </c>
      <c r="BI23" s="62"/>
      <c r="BJ23" s="63"/>
      <c r="BK23" s="52"/>
      <c r="BL23" s="60"/>
      <c r="BM23" s="63"/>
      <c r="BN23" s="64"/>
      <c r="BO23" s="60"/>
      <c r="BP23" s="63"/>
      <c r="BQ23" s="64"/>
      <c r="BR23" s="60"/>
      <c r="BS23" s="63"/>
      <c r="BT23" s="51"/>
      <c r="BU23" s="411" t="s">
        <v>37</v>
      </c>
      <c r="BV23" s="62"/>
      <c r="BW23" s="63"/>
      <c r="BX23" s="52"/>
      <c r="BY23" s="60"/>
      <c r="BZ23" s="63"/>
      <c r="CA23" s="52"/>
      <c r="CB23" s="183">
        <f t="shared" si="1"/>
        <v>254</v>
      </c>
      <c r="CC23" s="741">
        <f t="shared" si="2"/>
        <v>85.53633</v>
      </c>
      <c r="CD23" s="64">
        <f t="shared" si="3"/>
        <v>33.67572047244094</v>
      </c>
      <c r="CE23" s="62"/>
      <c r="CF23" s="63"/>
      <c r="CG23" s="52"/>
      <c r="CH23" s="60"/>
      <c r="CI23" s="63"/>
      <c r="CJ23" s="51"/>
      <c r="CK23" s="416">
        <f t="shared" si="4"/>
        <v>254</v>
      </c>
      <c r="CL23" s="666">
        <f t="shared" si="5"/>
        <v>85.53633</v>
      </c>
      <c r="CM23" s="59">
        <f t="shared" si="6"/>
        <v>33.67572047244094</v>
      </c>
      <c r="CO23" s="1"/>
    </row>
    <row r="24" spans="1:93" ht="21" thickBot="1">
      <c r="A24" s="412" t="s">
        <v>29</v>
      </c>
      <c r="B24" s="412" t="s">
        <v>38</v>
      </c>
      <c r="C24" s="76"/>
      <c r="D24" s="74"/>
      <c r="E24" s="80"/>
      <c r="F24" s="76">
        <v>311.111</v>
      </c>
      <c r="G24" s="85">
        <v>117.98089</v>
      </c>
      <c r="H24" s="75">
        <f t="shared" si="0"/>
        <v>37.92244247230088</v>
      </c>
      <c r="I24" s="78"/>
      <c r="J24" s="79"/>
      <c r="K24" s="86"/>
      <c r="L24" s="78"/>
      <c r="M24" s="79"/>
      <c r="N24" s="424"/>
      <c r="O24" s="428" t="s">
        <v>38</v>
      </c>
      <c r="P24" s="76"/>
      <c r="Q24" s="77"/>
      <c r="R24" s="75"/>
      <c r="S24" s="78"/>
      <c r="T24" s="79"/>
      <c r="U24" s="81"/>
      <c r="V24" s="76"/>
      <c r="W24" s="77"/>
      <c r="X24" s="75"/>
      <c r="Y24" s="73"/>
      <c r="Z24" s="77"/>
      <c r="AA24" s="82"/>
      <c r="AB24" s="73"/>
      <c r="AC24" s="77"/>
      <c r="AD24" s="89"/>
      <c r="AE24" s="73"/>
      <c r="AF24" s="77"/>
      <c r="AG24" s="75"/>
      <c r="AH24" s="73"/>
      <c r="AI24" s="77"/>
      <c r="AJ24" s="82"/>
      <c r="AK24" s="73"/>
      <c r="AL24" s="77"/>
      <c r="AM24" s="75"/>
      <c r="AN24" s="78"/>
      <c r="AO24" s="79"/>
      <c r="AP24" s="142"/>
      <c r="AQ24" s="73"/>
      <c r="AR24" s="77"/>
      <c r="AS24" s="75"/>
      <c r="AT24" s="83"/>
      <c r="AU24" s="412" t="s">
        <v>38</v>
      </c>
      <c r="AV24" s="76"/>
      <c r="AW24" s="77"/>
      <c r="AX24" s="52"/>
      <c r="AY24" s="73"/>
      <c r="AZ24" s="77"/>
      <c r="BA24" s="75"/>
      <c r="BB24" s="73"/>
      <c r="BC24" s="77"/>
      <c r="BD24" s="75"/>
      <c r="BE24" s="73"/>
      <c r="BF24" s="77"/>
      <c r="BG24" s="86"/>
      <c r="BH24" s="412" t="s">
        <v>38</v>
      </c>
      <c r="BI24" s="76"/>
      <c r="BJ24" s="77"/>
      <c r="BK24" s="75"/>
      <c r="BL24" s="73"/>
      <c r="BM24" s="77"/>
      <c r="BN24" s="64"/>
      <c r="BO24" s="2"/>
      <c r="BP24" s="77"/>
      <c r="BQ24" s="64"/>
      <c r="BR24" s="73"/>
      <c r="BS24" s="77"/>
      <c r="BT24" s="51"/>
      <c r="BU24" s="412" t="s">
        <v>38</v>
      </c>
      <c r="BV24" s="76"/>
      <c r="BW24" s="77"/>
      <c r="BX24" s="75"/>
      <c r="BY24" s="73"/>
      <c r="BZ24" s="77"/>
      <c r="CA24" s="75"/>
      <c r="CB24" s="260">
        <f t="shared" si="1"/>
        <v>311.111</v>
      </c>
      <c r="CC24" s="779">
        <f t="shared" si="2"/>
        <v>117.98089</v>
      </c>
      <c r="CD24" s="80">
        <f t="shared" si="3"/>
        <v>37.92244247230088</v>
      </c>
      <c r="CE24" s="71"/>
      <c r="CF24" s="79"/>
      <c r="CG24" s="52"/>
      <c r="CH24" s="72"/>
      <c r="CI24" s="71"/>
      <c r="CJ24" s="86"/>
      <c r="CK24" s="417">
        <f t="shared" si="4"/>
        <v>311.111</v>
      </c>
      <c r="CL24" s="667">
        <f t="shared" si="5"/>
        <v>117.98089</v>
      </c>
      <c r="CM24" s="100">
        <f t="shared" si="6"/>
        <v>37.92244247230088</v>
      </c>
      <c r="CO24" s="1"/>
    </row>
    <row r="25" spans="1:91" ht="21" thickBot="1">
      <c r="A25" s="48"/>
      <c r="B25" s="48" t="s">
        <v>43</v>
      </c>
      <c r="C25" s="87">
        <f>SUM(C6:C24)</f>
        <v>0</v>
      </c>
      <c r="D25" s="88">
        <f>SUM(D6:D24)</f>
        <v>0</v>
      </c>
      <c r="E25" s="52" t="e">
        <f>(D25/C25)*100</f>
        <v>#DIV/0!</v>
      </c>
      <c r="F25" s="87">
        <f>SUM(F6:F24)</f>
        <v>2779.111</v>
      </c>
      <c r="G25" s="151">
        <f>SUM(G6:G24)</f>
        <v>885.7281899999999</v>
      </c>
      <c r="H25" s="150">
        <f t="shared" si="0"/>
        <v>31.870918074161125</v>
      </c>
      <c r="I25" s="50"/>
      <c r="J25" s="54"/>
      <c r="K25" s="89"/>
      <c r="L25" s="50">
        <f>SUM(L6:L24)</f>
        <v>0</v>
      </c>
      <c r="M25" s="58">
        <f>SUM(M6:M24)</f>
        <v>0</v>
      </c>
      <c r="N25" s="55"/>
      <c r="O25" s="425" t="s">
        <v>43</v>
      </c>
      <c r="P25" s="87">
        <f>SUM(P6:P24)</f>
        <v>0</v>
      </c>
      <c r="Q25" s="90">
        <f>SUM(Q6:Q24)</f>
        <v>0</v>
      </c>
      <c r="R25" s="95"/>
      <c r="S25" s="54">
        <f>SUM(S6:S24)</f>
        <v>0</v>
      </c>
      <c r="T25" s="134">
        <f>SUM(T6:T24)</f>
        <v>0</v>
      </c>
      <c r="U25" s="55"/>
      <c r="V25" s="90">
        <f>SUM(V6:V24)</f>
        <v>0</v>
      </c>
      <c r="W25" s="90">
        <f>SUM(W6:W24)</f>
        <v>0</v>
      </c>
      <c r="X25" s="89"/>
      <c r="Y25" s="87">
        <f>SUM(Y6:Y24)</f>
        <v>0</v>
      </c>
      <c r="Z25" s="90">
        <f>SUM(Z6:Z24)</f>
        <v>0</v>
      </c>
      <c r="AA25" s="91"/>
      <c r="AB25" s="87">
        <f>SUM(AB6:AB24)</f>
        <v>0</v>
      </c>
      <c r="AC25" s="430">
        <f>SUM(AC6:AC24)</f>
        <v>0.59</v>
      </c>
      <c r="AD25" s="89" t="e">
        <f>(AC25/AB25)*100</f>
        <v>#DIV/0!</v>
      </c>
      <c r="AE25" s="87">
        <f>SUM(AE6:AE24)</f>
        <v>0</v>
      </c>
      <c r="AF25" s="90">
        <f>SUM(AF6:AF24)</f>
        <v>0</v>
      </c>
      <c r="AG25" s="89"/>
      <c r="AH25" s="87">
        <f>SUM(AH6:AH24)</f>
        <v>0</v>
      </c>
      <c r="AI25" s="90">
        <f>SUM(AI6:AI24)</f>
        <v>0</v>
      </c>
      <c r="AJ25" s="91"/>
      <c r="AK25" s="87">
        <f>SUM(AK6:AK24)</f>
        <v>0</v>
      </c>
      <c r="AL25" s="94">
        <f>SUM(AL6:AL24)</f>
        <v>0</v>
      </c>
      <c r="AM25" s="89"/>
      <c r="AN25" s="50">
        <f>SUM(AN6:AN24)</f>
        <v>0</v>
      </c>
      <c r="AO25" s="58">
        <f>SUM(AO6:AO24)</f>
        <v>0</v>
      </c>
      <c r="AQ25" s="87">
        <f>SUM(AQ6:AQ24)</f>
        <v>0</v>
      </c>
      <c r="AR25" s="90">
        <f>SUM(AR6:AR24)</f>
        <v>0</v>
      </c>
      <c r="AS25" s="89"/>
      <c r="AT25" s="49">
        <f>SUM(AT6:AT24)</f>
        <v>0</v>
      </c>
      <c r="AU25" s="48" t="s">
        <v>43</v>
      </c>
      <c r="AV25" s="87">
        <f>SUM(AV6:AV24)</f>
        <v>0</v>
      </c>
      <c r="AW25" s="90">
        <f>SUM(AW6:AW24)</f>
        <v>0</v>
      </c>
      <c r="AX25" s="89"/>
      <c r="AY25" s="87">
        <f>SUM(AY6:AY24)</f>
        <v>0</v>
      </c>
      <c r="AZ25" s="90">
        <f>SUM(AZ6:AZ24)</f>
        <v>0</v>
      </c>
      <c r="BA25" s="89"/>
      <c r="BB25" s="87">
        <f>SUM(BB6:BB24)</f>
        <v>20</v>
      </c>
      <c r="BC25" s="94">
        <f>SUM(BC6:BC24)</f>
        <v>30.8832</v>
      </c>
      <c r="BD25" s="89"/>
      <c r="BE25" s="87">
        <f>SUM(BE6:BE24)</f>
        <v>0</v>
      </c>
      <c r="BF25" s="90">
        <f>SUM(BF6:BF24)</f>
        <v>0</v>
      </c>
      <c r="BG25" s="89"/>
      <c r="BH25" s="48" t="s">
        <v>43</v>
      </c>
      <c r="BI25" s="87">
        <f>SUM(BI6:BI24)</f>
        <v>0</v>
      </c>
      <c r="BJ25" s="90">
        <f>SUM(BJ6:BJ24)</f>
        <v>0</v>
      </c>
      <c r="BK25" s="89"/>
      <c r="BL25" s="87">
        <f>SUM(BL6:BL24)</f>
        <v>0</v>
      </c>
      <c r="BM25" s="90">
        <f>SUM(BM6:BM24)</f>
        <v>0</v>
      </c>
      <c r="BN25" s="89"/>
      <c r="BO25" s="87">
        <f>SUM(BO6:BO24)</f>
        <v>0</v>
      </c>
      <c r="BP25" s="90">
        <f>SUM(BP6:BP24)</f>
        <v>0</v>
      </c>
      <c r="BQ25" s="89"/>
      <c r="BR25" s="87">
        <f>SUM(BR6:BR24)</f>
        <v>0</v>
      </c>
      <c r="BS25" s="90">
        <f>SUM(BS6:BS24)</f>
        <v>0</v>
      </c>
      <c r="BT25" s="89"/>
      <c r="BU25" s="48" t="s">
        <v>43</v>
      </c>
      <c r="BV25" s="87">
        <f>SUM(BV6:BV24)</f>
        <v>0</v>
      </c>
      <c r="BW25" s="90">
        <f>SUM(BW6:BW24)</f>
        <v>0</v>
      </c>
      <c r="BX25" s="89"/>
      <c r="BY25" s="87">
        <f>SUM(BY6:BY24)</f>
        <v>0</v>
      </c>
      <c r="BZ25" s="90">
        <f>SUM(BZ6:BZ24)</f>
        <v>0</v>
      </c>
      <c r="CA25" s="89"/>
      <c r="CB25" s="221">
        <f>SUM(CB6:CB24)</f>
        <v>2799.111</v>
      </c>
      <c r="CC25" s="261">
        <f>SUM(CC6:CC24)</f>
        <v>917.20139</v>
      </c>
      <c r="CD25" s="130">
        <f t="shared" si="3"/>
        <v>32.76759621179725</v>
      </c>
      <c r="CE25" s="87">
        <f>SUM(CE6:CE24)</f>
        <v>0</v>
      </c>
      <c r="CF25" s="90">
        <f>SUM(CF6:CF24)</f>
        <v>0</v>
      </c>
      <c r="CG25" s="95"/>
      <c r="CH25" s="87">
        <f>SUM(CH6:CH24)</f>
        <v>0</v>
      </c>
      <c r="CI25" s="90">
        <f>SUM(CI6:CI24)</f>
        <v>0</v>
      </c>
      <c r="CJ25" s="95"/>
      <c r="CK25" s="220">
        <f>SUM(CK6:CK24)</f>
        <v>2799.111</v>
      </c>
      <c r="CL25" s="668">
        <f>SUM(CL6:CL24)</f>
        <v>917.20139</v>
      </c>
      <c r="CM25" s="96">
        <f t="shared" si="6"/>
        <v>32.76759621179725</v>
      </c>
    </row>
    <row r="26" spans="1:92" ht="21" thickBot="1">
      <c r="A26" s="48"/>
      <c r="B26" s="48" t="s">
        <v>44</v>
      </c>
      <c r="C26" s="78"/>
      <c r="D26" s="97"/>
      <c r="E26" s="115"/>
      <c r="F26" s="144">
        <v>154.699</v>
      </c>
      <c r="G26" s="144">
        <v>41.80149</v>
      </c>
      <c r="H26" s="135">
        <f t="shared" si="0"/>
        <v>27.021176607476455</v>
      </c>
      <c r="I26" s="84"/>
      <c r="J26" s="77"/>
      <c r="K26" s="98"/>
      <c r="L26" s="163">
        <v>66.357</v>
      </c>
      <c r="M26" s="85">
        <v>85.89542</v>
      </c>
      <c r="N26" s="98">
        <f>(M26/L26)*100</f>
        <v>129.444399234444</v>
      </c>
      <c r="O26" s="48" t="s">
        <v>44</v>
      </c>
      <c r="P26" s="73"/>
      <c r="Q26" s="77"/>
      <c r="R26" s="98"/>
      <c r="S26" s="78"/>
      <c r="T26" s="97"/>
      <c r="U26" s="68"/>
      <c r="V26" s="76"/>
      <c r="W26" s="77"/>
      <c r="X26" s="98"/>
      <c r="Y26" s="73"/>
      <c r="Z26" s="77"/>
      <c r="AA26" s="99"/>
      <c r="AB26" s="73"/>
      <c r="AC26" s="77"/>
      <c r="AD26" s="98"/>
      <c r="AE26" s="73"/>
      <c r="AF26" s="77"/>
      <c r="AG26" s="98"/>
      <c r="AH26" s="73"/>
      <c r="AI26" s="77"/>
      <c r="AJ26" s="99"/>
      <c r="AK26" s="73"/>
      <c r="AL26" s="85"/>
      <c r="AM26" s="98"/>
      <c r="AN26" s="73">
        <v>121.5</v>
      </c>
      <c r="AO26" s="161">
        <v>43.09705</v>
      </c>
      <c r="AP26" s="98">
        <f>(AO26/AN26)*100</f>
        <v>35.470823045267494</v>
      </c>
      <c r="AQ26" s="73"/>
      <c r="AR26" s="76"/>
      <c r="AS26" s="98"/>
      <c r="AT26" s="83"/>
      <c r="AU26" s="48" t="s">
        <v>44</v>
      </c>
      <c r="AV26" s="73">
        <v>10</v>
      </c>
      <c r="AW26" s="161">
        <v>0.24</v>
      </c>
      <c r="AX26" s="98">
        <f>(AW26/AV26)*100</f>
        <v>2.4</v>
      </c>
      <c r="AY26" s="73"/>
      <c r="AZ26" s="76"/>
      <c r="BA26" s="98"/>
      <c r="BB26" s="73"/>
      <c r="BC26" s="76"/>
      <c r="BD26" s="98"/>
      <c r="BE26" s="84"/>
      <c r="BF26" s="76"/>
      <c r="BG26" s="98"/>
      <c r="BH26" s="48" t="s">
        <v>44</v>
      </c>
      <c r="BI26" s="73"/>
      <c r="BJ26" s="76"/>
      <c r="BK26" s="98"/>
      <c r="BL26" s="73"/>
      <c r="BM26" s="76"/>
      <c r="BN26" s="98"/>
      <c r="BO26" s="73"/>
      <c r="BP26" s="76"/>
      <c r="BQ26" s="98"/>
      <c r="BR26" s="73"/>
      <c r="BS26" s="76"/>
      <c r="BT26" s="98"/>
      <c r="BU26" s="48" t="s">
        <v>44</v>
      </c>
      <c r="BV26" s="73"/>
      <c r="BW26" s="76"/>
      <c r="BX26" s="98"/>
      <c r="BY26" s="73"/>
      <c r="BZ26" s="76"/>
      <c r="CA26" s="98"/>
      <c r="CB26" s="183">
        <f>C26+F26+I26+L26+P26+AK26+AN26+AQ26+AV26+AY26+BB26+BE26+BI26+BL26+BO26+BR26+BV26+BY26+AB26</f>
        <v>352.55600000000004</v>
      </c>
      <c r="CC26" s="183">
        <f>D26+G26+J26+M26+Q26+AL26+AO26+AR26+AW26+AZ26+BC26+BF26+BJ26+BM26+BP26+BS26+BW26+BZ26+AC26</f>
        <v>171.03396</v>
      </c>
      <c r="CD26" s="98">
        <f t="shared" si="3"/>
        <v>48.51256537968436</v>
      </c>
      <c r="CE26" s="73"/>
      <c r="CF26" s="76"/>
      <c r="CG26" s="98"/>
      <c r="CH26" s="73"/>
      <c r="CI26" s="76"/>
      <c r="CJ26" s="115"/>
      <c r="CK26" s="418">
        <f>CB26+CE26+CH26</f>
        <v>352.55600000000004</v>
      </c>
      <c r="CL26" s="793">
        <f>CC26+CF26+CI26</f>
        <v>171.03396</v>
      </c>
      <c r="CM26" s="100">
        <f t="shared" si="6"/>
        <v>48.51256537968436</v>
      </c>
      <c r="CN26" t="s">
        <v>90</v>
      </c>
    </row>
    <row r="27" spans="1:104" ht="21" thickBot="1">
      <c r="A27" s="101"/>
      <c r="B27" s="165" t="s">
        <v>45</v>
      </c>
      <c r="C27" s="162">
        <f>SUM(C25:C26)</f>
        <v>0</v>
      </c>
      <c r="D27" s="166">
        <f>SUM(D25:D26)</f>
        <v>0</v>
      </c>
      <c r="E27" s="167" t="e">
        <f>(D27/C27)*100</f>
        <v>#DIV/0!</v>
      </c>
      <c r="F27" s="162">
        <f>SUM(F25:F26)</f>
        <v>2933.81</v>
      </c>
      <c r="G27" s="166">
        <f>SUM(G25:G26)</f>
        <v>927.5296799999999</v>
      </c>
      <c r="H27" s="168">
        <f t="shared" si="0"/>
        <v>31.615192531213676</v>
      </c>
      <c r="I27" s="162">
        <f>SUM(I25:I26)</f>
        <v>0</v>
      </c>
      <c r="J27" s="164">
        <f>SUM(J25:J26)</f>
        <v>0</v>
      </c>
      <c r="K27" s="167" t="e">
        <f>(J27/I27)*100</f>
        <v>#DIV/0!</v>
      </c>
      <c r="L27" s="164">
        <f>SUM(L25:L26)</f>
        <v>66.357</v>
      </c>
      <c r="M27" s="164">
        <f>SUM(M25:M26)</f>
        <v>85.89542</v>
      </c>
      <c r="N27" s="169">
        <f>(M27/L27)*100</f>
        <v>129.444399234444</v>
      </c>
      <c r="O27" s="165" t="s">
        <v>45</v>
      </c>
      <c r="P27" s="164">
        <f>SUM(P25:P26)</f>
        <v>0</v>
      </c>
      <c r="Q27" s="164">
        <f>SUM(Q25:Q26)</f>
        <v>0</v>
      </c>
      <c r="R27" s="167" t="e">
        <f>(Q27/P27)*100</f>
        <v>#DIV/0!</v>
      </c>
      <c r="S27" s="170">
        <f>SUM(S25:S26)</f>
        <v>0</v>
      </c>
      <c r="T27" s="170">
        <f>SUM(T25:T26)</f>
        <v>0</v>
      </c>
      <c r="U27" s="171" t="e">
        <f>SUM(T27/S27)</f>
        <v>#DIV/0!</v>
      </c>
      <c r="V27" s="164">
        <f>SUM(V25:V26)</f>
        <v>0</v>
      </c>
      <c r="W27" s="164">
        <f>SUM(W25:W26)</f>
        <v>0</v>
      </c>
      <c r="X27" s="167" t="e">
        <f>(W27/V27)*100</f>
        <v>#DIV/0!</v>
      </c>
      <c r="Y27" s="164">
        <f>SUM(Y25:Y26)</f>
        <v>0</v>
      </c>
      <c r="Z27" s="164">
        <f>SUM(Z25:Z26)</f>
        <v>0</v>
      </c>
      <c r="AA27" s="169" t="e">
        <f>SUM(Z27/Y27)</f>
        <v>#DIV/0!</v>
      </c>
      <c r="AB27" s="164">
        <f>SUM(AB25:AB26)</f>
        <v>0</v>
      </c>
      <c r="AC27" s="109">
        <f>SUM(AC25:AC26)</f>
        <v>0.59</v>
      </c>
      <c r="AD27" s="167" t="e">
        <f>(AC27/AB27)*100</f>
        <v>#DIV/0!</v>
      </c>
      <c r="AE27" s="164">
        <f>SUM(AE25:AE26)</f>
        <v>0</v>
      </c>
      <c r="AF27" s="164">
        <f>SUM(AF25:AF26)</f>
        <v>0</v>
      </c>
      <c r="AG27" s="167" t="e">
        <f>(AF27/AE27)*100</f>
        <v>#DIV/0!</v>
      </c>
      <c r="AH27" s="164">
        <f>SUM(AH25:AH26)</f>
        <v>0</v>
      </c>
      <c r="AI27" s="164">
        <f>SUM(AI25:AI26)</f>
        <v>0</v>
      </c>
      <c r="AJ27" s="169" t="e">
        <f>SUM(AI27/AH27)</f>
        <v>#DIV/0!</v>
      </c>
      <c r="AK27" s="164">
        <f>SUM(AK25:AK26)</f>
        <v>0</v>
      </c>
      <c r="AL27" s="164">
        <f>SUM(AL25:AL26)</f>
        <v>0</v>
      </c>
      <c r="AM27" s="167"/>
      <c r="AN27" s="190">
        <f>SUM(AN25:AN26)</f>
        <v>121.5</v>
      </c>
      <c r="AO27" s="278">
        <f>SUM(AO25:AO26)</f>
        <v>43.09705</v>
      </c>
      <c r="AP27" s="191">
        <f>(AO27/AN27)*100</f>
        <v>35.470823045267494</v>
      </c>
      <c r="AQ27" s="162">
        <f>SUM(AQ25:AQ26)</f>
        <v>0</v>
      </c>
      <c r="AR27" s="172">
        <f>SUM(AR25:AR26)</f>
        <v>0</v>
      </c>
      <c r="AS27" s="167" t="e">
        <f>(AR27/AQ27)*100</f>
        <v>#DIV/0!</v>
      </c>
      <c r="AT27" s="166">
        <f>SUM(AT25:AT26)</f>
        <v>0</v>
      </c>
      <c r="AU27" s="162"/>
      <c r="AV27" s="267">
        <f>SUM(AV25:AV26)</f>
        <v>10</v>
      </c>
      <c r="AW27" s="172">
        <f>SUM(AW25:AW26)</f>
        <v>0.24</v>
      </c>
      <c r="AX27" s="167">
        <f>(AW27/AV27)*100</f>
        <v>2.4</v>
      </c>
      <c r="AY27" s="162">
        <f>SUM(AY25:AY26)</f>
        <v>0</v>
      </c>
      <c r="AZ27" s="172">
        <f>SUM(AZ25:AZ26)</f>
        <v>0</v>
      </c>
      <c r="BA27" s="167" t="e">
        <f>(AZ27/AY27)*100</f>
        <v>#DIV/0!</v>
      </c>
      <c r="BB27" s="162">
        <f>SUM(BB25:BB26)</f>
        <v>20</v>
      </c>
      <c r="BC27" s="172">
        <f>SUM(BC25:BC26)</f>
        <v>30.8832</v>
      </c>
      <c r="BD27" s="167">
        <f>(BC27/BB27)*100</f>
        <v>154.416</v>
      </c>
      <c r="BE27" s="162">
        <f>SUM(BE25:BE26)</f>
        <v>0</v>
      </c>
      <c r="BF27" s="172">
        <f>SUM(BF25:BF26)</f>
        <v>0</v>
      </c>
      <c r="BG27" s="167" t="e">
        <f>(BF27/BE27)*100</f>
        <v>#DIV/0!</v>
      </c>
      <c r="BH27" s="165" t="s">
        <v>45</v>
      </c>
      <c r="BI27" s="162">
        <f>SUM(BI25:BI26)</f>
        <v>0</v>
      </c>
      <c r="BJ27" s="172">
        <f>SUM(BJ25:BJ26)</f>
        <v>0</v>
      </c>
      <c r="BK27" s="167" t="e">
        <f>(BJ27/BI27)*100</f>
        <v>#DIV/0!</v>
      </c>
      <c r="BL27" s="162">
        <f>SUM(BL25:BL26)</f>
        <v>0</v>
      </c>
      <c r="BM27" s="172">
        <f>SUM(BM25:BM26)</f>
        <v>0</v>
      </c>
      <c r="BN27" s="167" t="e">
        <f>(BM27/BL27)*100</f>
        <v>#DIV/0!</v>
      </c>
      <c r="BO27" s="162">
        <f>SUM(BO25:BO26)</f>
        <v>0</v>
      </c>
      <c r="BP27" s="172">
        <f>SUM(BP25:BP26)</f>
        <v>0</v>
      </c>
      <c r="BQ27" s="167" t="e">
        <f>(BP27/BO27)*100</f>
        <v>#DIV/0!</v>
      </c>
      <c r="BR27" s="162">
        <f>SUM(BR25:BR26)</f>
        <v>0</v>
      </c>
      <c r="BS27" s="172">
        <f>SUM(BS25:BS26)</f>
        <v>0</v>
      </c>
      <c r="BT27" s="167" t="e">
        <f>(BS27/BR27)*100</f>
        <v>#DIV/0!</v>
      </c>
      <c r="BU27" s="165" t="s">
        <v>45</v>
      </c>
      <c r="BV27" s="162">
        <f>SUM(BV25:BV26)</f>
        <v>0</v>
      </c>
      <c r="BW27" s="172">
        <f>SUM(BW25:BW26)</f>
        <v>0</v>
      </c>
      <c r="BX27" s="167" t="e">
        <f>(BW27/BV27)*100</f>
        <v>#DIV/0!</v>
      </c>
      <c r="BY27" s="162">
        <f>SUM(BY25:BY26)</f>
        <v>0</v>
      </c>
      <c r="BZ27" s="172">
        <f>SUM(BZ25:BZ26)</f>
        <v>0</v>
      </c>
      <c r="CA27" s="167" t="e">
        <f>(BZ27/BY27)*100</f>
        <v>#DIV/0!</v>
      </c>
      <c r="CB27" s="162">
        <f>SUM(CB25:CB26)</f>
        <v>3151.667</v>
      </c>
      <c r="CC27" s="116">
        <f>SUM(CC25:CC26)</f>
        <v>1088.23535</v>
      </c>
      <c r="CD27" s="223">
        <f t="shared" si="3"/>
        <v>34.52888106516329</v>
      </c>
      <c r="CE27" s="162">
        <f>SUM(CE25:CE26)</f>
        <v>0</v>
      </c>
      <c r="CF27" s="172">
        <f>SUM(CF25:CF26)</f>
        <v>0</v>
      </c>
      <c r="CG27" s="167" t="e">
        <f>(CF27/CE27)*100</f>
        <v>#DIV/0!</v>
      </c>
      <c r="CH27" s="162">
        <f>SUM(CH25:CH26)</f>
        <v>0</v>
      </c>
      <c r="CI27" s="172">
        <f>SUM(CI25:CI26)</f>
        <v>0</v>
      </c>
      <c r="CJ27" s="173" t="e">
        <f>(CI27/CH27)*100</f>
        <v>#DIV/0!</v>
      </c>
      <c r="CK27" s="162">
        <f>SUM(CK25:CK26)</f>
        <v>3151.667</v>
      </c>
      <c r="CL27" s="262">
        <f>SUM(CL25:CL26)</f>
        <v>1088.23535</v>
      </c>
      <c r="CM27" s="174">
        <f t="shared" si="6"/>
        <v>34.52888106516329</v>
      </c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</row>
    <row r="28" spans="2:104" ht="13.5" thickBot="1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419"/>
      <c r="CL28" s="669"/>
      <c r="CM28" s="420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</row>
    <row r="29" spans="2:104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98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</row>
    <row r="30" spans="2:104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98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</row>
    <row r="31" spans="2:104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</row>
    <row r="32" spans="2:104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</row>
    <row r="33" spans="2:104" ht="12.7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</row>
    <row r="34" spans="2:104" ht="12.75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</row>
    <row r="35" spans="2:104" ht="12.75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</row>
    <row r="36" spans="2:104" ht="12.75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7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</row>
    <row r="37" spans="2:104" ht="12.75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</row>
    <row r="38" spans="2:104" ht="12.75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</row>
    <row r="39" spans="2:104" ht="12.75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</row>
    <row r="40" spans="2:104" ht="12.75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</row>
    <row r="41" spans="2:104" ht="12.75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</row>
    <row r="42" spans="2:104" ht="12.75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</row>
    <row r="43" spans="2:104" ht="12.75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</row>
    <row r="44" spans="2:104" ht="12.75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</row>
    <row r="45" spans="2:104" ht="12.75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</row>
    <row r="46" spans="2:104" ht="12.75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</row>
    <row r="47" spans="2:104" ht="12.75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</row>
    <row r="48" spans="2:104" ht="12.75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</row>
    <row r="49" spans="2:104" ht="12.75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</row>
    <row r="50" spans="2:104" ht="12.75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</row>
    <row r="51" spans="2:104" ht="12.75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</row>
    <row r="52" spans="2:104" ht="12.75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</row>
    <row r="53" spans="2:104" ht="12.75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</row>
    <row r="54" spans="2:104" ht="12.75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</row>
    <row r="55" spans="2:104" ht="12.75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</row>
    <row r="56" spans="2:104" ht="12.75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</row>
    <row r="57" spans="2:104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</row>
    <row r="58" spans="2:104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</row>
    <row r="59" spans="2:104" ht="12.7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</row>
    <row r="60" spans="2:104" ht="12.7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</row>
    <row r="61" spans="2:104" ht="12.7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</row>
    <row r="62" spans="2:104" ht="12.7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</row>
    <row r="63" spans="2:104" ht="12.7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</row>
    <row r="64" spans="2:104" ht="12.7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</row>
    <row r="65" spans="2:104" ht="12.7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</row>
    <row r="66" spans="2:104" ht="12.7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</row>
    <row r="67" spans="2:104" ht="12.7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</row>
    <row r="68" spans="2:104" ht="12.7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</row>
    <row r="69" spans="2:104" ht="12.7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</row>
    <row r="70" spans="2:104" ht="12.7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</row>
    <row r="71" spans="2:104" ht="12.7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</row>
    <row r="72" spans="2:104" ht="12.7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</row>
    <row r="73" spans="2:104" ht="12.7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</row>
    <row r="74" spans="2:104" ht="12.7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</row>
    <row r="75" spans="2:104" ht="12.7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</row>
    <row r="76" spans="2:104" ht="12.7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</row>
    <row r="77" spans="2:104" ht="12.7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</row>
    <row r="78" spans="2:104" ht="12.7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</row>
    <row r="79" spans="2:104" ht="12.7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</row>
    <row r="80" spans="2:104" ht="12.7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</row>
    <row r="81" spans="2:104" ht="12.7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</row>
    <row r="82" spans="2:104" ht="12.7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</row>
    <row r="83" spans="2:104" ht="12.7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</row>
    <row r="84" spans="2:104" ht="12.7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</row>
    <row r="85" spans="2:104" ht="12.7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</row>
    <row r="86" spans="2:104" ht="12.7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</row>
    <row r="87" spans="2:104" ht="12.7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</row>
    <row r="88" spans="2:104" ht="12.7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</row>
    <row r="89" spans="2:104" ht="12.7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</row>
    <row r="90" spans="2:104" ht="12.7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</row>
    <row r="91" spans="2:104" ht="12.7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</row>
    <row r="92" spans="2:104" ht="12.7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</row>
    <row r="93" spans="2:104" ht="12.7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</row>
    <row r="94" spans="2:104" ht="12.7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</row>
    <row r="95" spans="2:104" ht="12.7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</row>
    <row r="96" spans="2:104" ht="12.7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</row>
    <row r="97" spans="2:104" ht="12.7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</row>
    <row r="98" spans="2:104" ht="12.7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</row>
    <row r="99" spans="2:104" ht="12.7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</row>
    <row r="100" spans="2:104" ht="12.7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</row>
    <row r="101" spans="2:104" ht="12.7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</row>
    <row r="102" spans="2:104" ht="12.7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</row>
    <row r="103" spans="2:104" ht="12.7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</row>
    <row r="104" spans="2:104" ht="12.7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</row>
    <row r="105" spans="2:104" ht="12.7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</row>
    <row r="106" spans="2:104" ht="12.7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</row>
    <row r="107" spans="2:104" ht="12.7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</row>
    <row r="108" spans="2:104" ht="12.7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</row>
    <row r="109" spans="2:104" ht="12.7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</row>
    <row r="110" spans="2:104" ht="12.7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</row>
    <row r="111" spans="2:104" ht="12.7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</row>
    <row r="112" spans="2:104" ht="12.75"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</row>
    <row r="113" spans="2:104" ht="12.75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</row>
    <row r="114" spans="2:104" ht="12.75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</row>
    <row r="115" spans="2:104" ht="12.75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</row>
    <row r="116" spans="2:104" ht="12.75"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</row>
    <row r="117" spans="2:104" ht="12.75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</row>
    <row r="118" spans="2:104" ht="12.75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</row>
    <row r="119" spans="2:104" ht="12.75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</row>
    <row r="120" spans="2:104" ht="12.75"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</row>
    <row r="121" spans="2:104" ht="12.75"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</row>
    <row r="122" spans="2:104" ht="12.75"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</row>
    <row r="123" spans="2:104" ht="12.75"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</row>
    <row r="124" spans="2:104" ht="12.75"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</row>
    <row r="125" spans="2:104" ht="12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</row>
    <row r="126" spans="2:104" ht="12.75"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</row>
    <row r="127" spans="2:104" ht="12.75"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</row>
    <row r="128" spans="2:104" ht="12.75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</row>
    <row r="129" spans="2:104" ht="12.75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</row>
    <row r="130" spans="2:104" ht="12.75"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</row>
    <row r="131" spans="2:104" ht="12.75"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</row>
    <row r="132" spans="2:104" ht="12.75"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5"/>
      <c r="CX132" s="175"/>
      <c r="CY132" s="175"/>
      <c r="CZ132" s="175"/>
    </row>
    <row r="133" spans="2:104" ht="12.75"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</row>
    <row r="134" spans="2:104" ht="12.75"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</row>
    <row r="135" spans="2:104" ht="12.75"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</row>
    <row r="136" spans="2:104" ht="12.75"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5"/>
      <c r="CX136" s="175"/>
      <c r="CY136" s="175"/>
      <c r="CZ136" s="175"/>
    </row>
    <row r="137" spans="2:104" ht="12.75"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</row>
  </sheetData>
  <mergeCells count="9">
    <mergeCell ref="F3:H3"/>
    <mergeCell ref="P3:R3"/>
    <mergeCell ref="AN3:AP3"/>
    <mergeCell ref="AV3:AX3"/>
    <mergeCell ref="BV3:BX3"/>
    <mergeCell ref="BE3:BG3"/>
    <mergeCell ref="S3:U3"/>
    <mergeCell ref="I3:K3"/>
    <mergeCell ref="BB3:BD3"/>
  </mergeCells>
  <printOptions/>
  <pageMargins left="0.75" right="0.75" top="1" bottom="1" header="0.5" footer="0.5"/>
  <pageSetup fitToHeight="0" fitToWidth="0" horizontalDpi="600" verticalDpi="600" orientation="landscape" paperSize="9" scale="31" r:id="rId1"/>
  <colBreaks count="7" manualBreakCount="7">
    <brk id="14" max="26" man="1"/>
    <brk id="46" max="65535" man="1"/>
    <brk id="59" max="65535" man="1"/>
    <brk id="91" max="65535" man="1"/>
    <brk id="93" max="26" man="1"/>
    <brk id="102" max="65535" man="1"/>
    <brk id="10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O30"/>
  <sheetViews>
    <sheetView zoomScale="60" zoomScaleNormal="60" workbookViewId="0" topLeftCell="A1">
      <pane xSplit="2" ySplit="5" topLeftCell="B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N26" sqref="CN26"/>
    </sheetView>
  </sheetViews>
  <sheetFormatPr defaultColWidth="9.00390625" defaultRowHeight="12.75"/>
  <cols>
    <col min="2" max="2" width="27.375" style="0" customWidth="1"/>
    <col min="3" max="3" width="12.875" style="0" bestFit="1" customWidth="1"/>
    <col min="4" max="4" width="12.75390625" style="0" customWidth="1"/>
    <col min="5" max="5" width="12.375" style="0" customWidth="1"/>
    <col min="6" max="6" width="13.875" style="0" customWidth="1"/>
    <col min="7" max="7" width="14.625" style="389" customWidth="1"/>
    <col min="9" max="10" width="12.75390625" style="0" bestFit="1" customWidth="1"/>
    <col min="12" max="12" width="16.75390625" style="0" customWidth="1"/>
    <col min="13" max="13" width="12.75390625" style="0" bestFit="1" customWidth="1"/>
    <col min="15" max="15" width="28.375" style="0" customWidth="1"/>
    <col min="16" max="16" width="16.125" style="0" customWidth="1"/>
    <col min="17" max="17" width="19.375" style="0" customWidth="1"/>
    <col min="25" max="25" width="10.875" style="0" bestFit="1" customWidth="1"/>
    <col min="26" max="26" width="11.00390625" style="0" bestFit="1" customWidth="1"/>
    <col min="28" max="28" width="15.75390625" style="0" bestFit="1" customWidth="1"/>
    <col min="29" max="29" width="13.875" style="0" customWidth="1"/>
    <col min="36" max="36" width="13.875" style="0" customWidth="1"/>
    <col min="37" max="37" width="11.75390625" style="0" bestFit="1" customWidth="1"/>
    <col min="40" max="40" width="19.625" style="0" bestFit="1" customWidth="1"/>
    <col min="41" max="41" width="18.375" style="0" bestFit="1" customWidth="1"/>
    <col min="42" max="42" width="16.75390625" style="0" customWidth="1"/>
    <col min="43" max="43" width="19.25390625" style="0" bestFit="1" customWidth="1"/>
    <col min="44" max="44" width="13.375" style="389" customWidth="1"/>
    <col min="46" max="46" width="15.25390625" style="0" customWidth="1"/>
    <col min="51" max="51" width="27.375" style="0" customWidth="1"/>
    <col min="52" max="52" width="10.875" style="0" customWidth="1"/>
    <col min="53" max="53" width="13.125" style="0" customWidth="1"/>
    <col min="55" max="55" width="13.375" style="0" customWidth="1"/>
    <col min="56" max="56" width="14.875" style="0" customWidth="1"/>
    <col min="58" max="58" width="10.875" style="0" bestFit="1" customWidth="1"/>
    <col min="60" max="60" width="12.125" style="0" customWidth="1"/>
    <col min="61" max="61" width="17.375" style="0" customWidth="1"/>
    <col min="62" max="62" width="15.625" style="0" customWidth="1"/>
    <col min="63" max="63" width="10.875" style="0" customWidth="1"/>
    <col min="64" max="64" width="28.875" style="0" customWidth="1"/>
    <col min="65" max="65" width="14.875" style="0" customWidth="1"/>
    <col min="66" max="66" width="12.75390625" style="0" customWidth="1"/>
    <col min="67" max="67" width="15.375" style="0" customWidth="1"/>
    <col min="68" max="68" width="16.75390625" style="0" bestFit="1" customWidth="1"/>
    <col min="69" max="69" width="18.75390625" style="0" customWidth="1"/>
    <col min="70" max="70" width="12.75390625" style="0" customWidth="1"/>
    <col min="71" max="71" width="12.375" style="0" customWidth="1"/>
    <col min="72" max="72" width="14.25390625" style="0" customWidth="1"/>
    <col min="73" max="73" width="13.00390625" style="0" customWidth="1"/>
    <col min="74" max="74" width="12.625" style="0" bestFit="1" customWidth="1"/>
    <col min="75" max="75" width="12.75390625" style="0" bestFit="1" customWidth="1"/>
    <col min="76" max="76" width="10.625" style="0" customWidth="1"/>
    <col min="77" max="77" width="29.875" style="0" customWidth="1"/>
    <col min="78" max="78" width="16.75390625" style="0" bestFit="1" customWidth="1"/>
    <col min="79" max="79" width="14.625" style="0" bestFit="1" customWidth="1"/>
    <col min="80" max="83" width="14.25390625" style="0" customWidth="1"/>
    <col min="84" max="84" width="18.125" style="0" customWidth="1"/>
    <col min="85" max="85" width="16.375" style="0" customWidth="1"/>
    <col min="86" max="86" width="18.25390625" style="0" customWidth="1"/>
    <col min="87" max="89" width="14.25390625" style="0" customWidth="1"/>
    <col min="90" max="90" width="21.125" style="0" customWidth="1"/>
    <col min="91" max="91" width="20.875" style="0" customWidth="1"/>
    <col min="92" max="92" width="14.625" style="0" customWidth="1"/>
    <col min="93" max="93" width="19.375" style="0" customWidth="1"/>
  </cols>
  <sheetData>
    <row r="1" spans="1:92" ht="24">
      <c r="A1" s="118" t="s">
        <v>101</v>
      </c>
      <c r="B1" s="118"/>
      <c r="C1" s="118"/>
      <c r="D1" s="118"/>
      <c r="E1" s="118"/>
      <c r="F1" s="118"/>
      <c r="G1" s="379"/>
      <c r="H1" s="118"/>
      <c r="I1" s="118"/>
      <c r="J1" s="118"/>
      <c r="K1" s="2"/>
      <c r="L1" s="2"/>
      <c r="M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90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21" thickBot="1">
      <c r="A2" s="2"/>
      <c r="B2" s="2"/>
      <c r="C2" s="3"/>
      <c r="D2" s="3"/>
      <c r="E2" s="3" t="s">
        <v>241</v>
      </c>
      <c r="F2" s="3"/>
      <c r="G2" s="380"/>
      <c r="H2" s="3"/>
      <c r="I2" s="3"/>
      <c r="J2" s="3" t="s">
        <v>183</v>
      </c>
      <c r="K2" s="2"/>
      <c r="L2" s="123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58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90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37.5" customHeight="1">
      <c r="A3" s="4" t="s">
        <v>40</v>
      </c>
      <c r="B3" s="5" t="s">
        <v>39</v>
      </c>
      <c r="C3" s="6" t="s">
        <v>59</v>
      </c>
      <c r="D3" s="7"/>
      <c r="E3" s="8"/>
      <c r="F3" s="810" t="s">
        <v>71</v>
      </c>
      <c r="G3" s="811"/>
      <c r="H3" s="811"/>
      <c r="I3" s="815" t="s">
        <v>84</v>
      </c>
      <c r="J3" s="816"/>
      <c r="K3" s="817"/>
      <c r="L3" s="7" t="s">
        <v>60</v>
      </c>
      <c r="M3" s="7"/>
      <c r="N3" s="7"/>
      <c r="O3" s="129" t="s">
        <v>39</v>
      </c>
      <c r="P3" s="810" t="s">
        <v>61</v>
      </c>
      <c r="Q3" s="811"/>
      <c r="R3" s="812"/>
      <c r="S3" s="810" t="s">
        <v>92</v>
      </c>
      <c r="T3" s="811"/>
      <c r="U3" s="812"/>
      <c r="V3" s="7" t="s">
        <v>62</v>
      </c>
      <c r="W3" s="7"/>
      <c r="X3" s="7"/>
      <c r="Y3" s="6"/>
      <c r="Z3" s="7" t="s">
        <v>74</v>
      </c>
      <c r="AA3" s="9"/>
      <c r="AB3" s="13" t="s">
        <v>108</v>
      </c>
      <c r="AC3" s="14"/>
      <c r="AD3" s="15"/>
      <c r="AE3" s="16" t="s">
        <v>67</v>
      </c>
      <c r="AF3" s="14"/>
      <c r="AG3" s="15"/>
      <c r="AH3" s="818" t="s">
        <v>66</v>
      </c>
      <c r="AI3" s="819"/>
      <c r="AJ3" s="819"/>
      <c r="AK3" s="810">
        <v>91204</v>
      </c>
      <c r="AL3" s="811"/>
      <c r="AM3" s="812"/>
      <c r="AN3" s="6" t="s">
        <v>175</v>
      </c>
      <c r="AO3" s="7"/>
      <c r="AP3" s="9"/>
      <c r="AQ3" s="811" t="s">
        <v>68</v>
      </c>
      <c r="AR3" s="811"/>
      <c r="AS3" s="811"/>
      <c r="AT3" s="814"/>
      <c r="AU3" s="12" t="s">
        <v>73</v>
      </c>
      <c r="AV3" s="7"/>
      <c r="AW3" s="11"/>
      <c r="AX3" s="18"/>
      <c r="AY3" s="5" t="s">
        <v>39</v>
      </c>
      <c r="AZ3" s="813" t="s">
        <v>179</v>
      </c>
      <c r="BA3" s="811"/>
      <c r="BB3" s="811"/>
      <c r="BC3" s="6"/>
      <c r="BD3" s="7"/>
      <c r="BE3" s="9"/>
      <c r="BF3" s="811" t="s">
        <v>95</v>
      </c>
      <c r="BG3" s="811"/>
      <c r="BH3" s="814"/>
      <c r="BI3" s="813" t="s">
        <v>96</v>
      </c>
      <c r="BJ3" s="811"/>
      <c r="BK3" s="814"/>
      <c r="BL3" s="10" t="s">
        <v>39</v>
      </c>
      <c r="BM3" s="6" t="s">
        <v>167</v>
      </c>
      <c r="BN3" s="7"/>
      <c r="BO3" s="9"/>
      <c r="BP3" s="6" t="s">
        <v>199</v>
      </c>
      <c r="BQ3" s="7"/>
      <c r="BR3" s="9"/>
      <c r="BS3" s="7" t="s">
        <v>76</v>
      </c>
      <c r="BT3" s="7"/>
      <c r="BU3" s="7"/>
      <c r="BV3" s="6" t="s">
        <v>168</v>
      </c>
      <c r="BW3" s="7"/>
      <c r="BX3" s="9"/>
      <c r="BY3" s="10" t="s">
        <v>39</v>
      </c>
      <c r="BZ3" s="810" t="s">
        <v>111</v>
      </c>
      <c r="CA3" s="811"/>
      <c r="CB3" s="811"/>
      <c r="CC3" s="672"/>
      <c r="CD3" s="673"/>
      <c r="CE3" s="674"/>
      <c r="CF3" s="460" t="s">
        <v>188</v>
      </c>
      <c r="CG3" s="460"/>
      <c r="CH3" s="461"/>
      <c r="CI3" s="6" t="s">
        <v>187</v>
      </c>
      <c r="CJ3" s="7"/>
      <c r="CK3" s="9"/>
      <c r="CL3" s="6" t="s">
        <v>78</v>
      </c>
      <c r="CM3" s="7"/>
      <c r="CN3" s="9"/>
    </row>
    <row r="4" spans="1:92" ht="61.5" customHeight="1" thickBot="1">
      <c r="A4" s="19"/>
      <c r="B4" s="20"/>
      <c r="C4" s="21"/>
      <c r="D4" s="22" t="s">
        <v>82</v>
      </c>
      <c r="E4" s="23"/>
      <c r="F4" s="22"/>
      <c r="G4" s="381" t="s">
        <v>46</v>
      </c>
      <c r="H4" s="22"/>
      <c r="I4" s="21"/>
      <c r="J4" s="22" t="s">
        <v>85</v>
      </c>
      <c r="K4" s="23"/>
      <c r="L4" s="22"/>
      <c r="M4" s="22" t="s">
        <v>47</v>
      </c>
      <c r="N4" s="22"/>
      <c r="O4" s="20"/>
      <c r="P4" s="126"/>
      <c r="Q4" s="127" t="s">
        <v>91</v>
      </c>
      <c r="R4" s="128"/>
      <c r="S4" s="126"/>
      <c r="T4" s="127" t="s">
        <v>51</v>
      </c>
      <c r="U4" s="128"/>
      <c r="V4" s="22"/>
      <c r="W4" s="22" t="s">
        <v>48</v>
      </c>
      <c r="X4" s="22"/>
      <c r="Y4" s="126"/>
      <c r="Z4" s="127" t="s">
        <v>93</v>
      </c>
      <c r="AA4" s="128"/>
      <c r="AB4" s="27"/>
      <c r="AC4" s="28" t="s">
        <v>94</v>
      </c>
      <c r="AD4" s="29"/>
      <c r="AE4" s="30"/>
      <c r="AF4" s="28" t="s">
        <v>52</v>
      </c>
      <c r="AG4" s="29"/>
      <c r="AH4" s="30"/>
      <c r="AI4" s="28" t="s">
        <v>53</v>
      </c>
      <c r="AJ4" s="31"/>
      <c r="AK4" s="820"/>
      <c r="AL4" s="821"/>
      <c r="AM4" s="822"/>
      <c r="AN4" s="126"/>
      <c r="AO4" s="127" t="s">
        <v>174</v>
      </c>
      <c r="AP4" s="128"/>
      <c r="AQ4" s="22"/>
      <c r="AR4" s="381"/>
      <c r="AS4" s="22" t="s">
        <v>55</v>
      </c>
      <c r="AT4" s="22"/>
      <c r="AU4" s="26"/>
      <c r="AV4" s="22" t="s">
        <v>83</v>
      </c>
      <c r="AW4" s="24"/>
      <c r="AX4" s="32"/>
      <c r="AY4" s="20"/>
      <c r="AZ4" s="33"/>
      <c r="BA4" s="22" t="s">
        <v>178</v>
      </c>
      <c r="BB4" s="22"/>
      <c r="BC4" s="21"/>
      <c r="BD4" s="22" t="s">
        <v>49</v>
      </c>
      <c r="BE4" s="23"/>
      <c r="BF4" s="22"/>
      <c r="BG4" s="22" t="s">
        <v>57</v>
      </c>
      <c r="BH4" s="22"/>
      <c r="BI4" s="469" t="s">
        <v>195</v>
      </c>
      <c r="BJ4" s="470" t="s">
        <v>113</v>
      </c>
      <c r="BK4" s="471" t="s">
        <v>192</v>
      </c>
      <c r="BL4" s="25"/>
      <c r="BM4" s="21"/>
      <c r="BN4" s="22" t="s">
        <v>105</v>
      </c>
      <c r="BO4" s="23"/>
      <c r="BP4" s="21" t="s">
        <v>89</v>
      </c>
      <c r="BQ4" s="22"/>
      <c r="BR4" s="23"/>
      <c r="BS4" s="22"/>
      <c r="BT4" s="22" t="s">
        <v>77</v>
      </c>
      <c r="BU4" s="22"/>
      <c r="BV4" s="21"/>
      <c r="BW4" s="22" t="s">
        <v>116</v>
      </c>
      <c r="BX4" s="23"/>
      <c r="BY4" s="25"/>
      <c r="BZ4" s="21"/>
      <c r="CA4" s="22" t="s">
        <v>109</v>
      </c>
      <c r="CB4" s="22"/>
      <c r="CC4" s="21"/>
      <c r="CD4" s="22" t="s">
        <v>212</v>
      </c>
      <c r="CE4" s="23"/>
      <c r="CF4" s="462"/>
      <c r="CG4" s="462" t="s">
        <v>185</v>
      </c>
      <c r="CH4" s="463"/>
      <c r="CI4" s="295"/>
      <c r="CJ4" s="287" t="s">
        <v>191</v>
      </c>
      <c r="CK4" s="293"/>
      <c r="CL4" s="21"/>
      <c r="CM4" s="22"/>
      <c r="CN4" s="23"/>
    </row>
    <row r="5" spans="1:92" ht="21" thickBot="1">
      <c r="A5" s="48"/>
      <c r="B5" s="72"/>
      <c r="C5" s="36" t="s">
        <v>41</v>
      </c>
      <c r="D5" s="37" t="s">
        <v>42</v>
      </c>
      <c r="E5" s="38" t="s">
        <v>0</v>
      </c>
      <c r="F5" s="42" t="s">
        <v>41</v>
      </c>
      <c r="G5" s="382" t="s">
        <v>42</v>
      </c>
      <c r="H5" s="47" t="s">
        <v>0</v>
      </c>
      <c r="I5" s="39" t="s">
        <v>41</v>
      </c>
      <c r="J5" s="40" t="s">
        <v>42</v>
      </c>
      <c r="K5" s="41" t="s">
        <v>0</v>
      </c>
      <c r="L5" s="42" t="s">
        <v>41</v>
      </c>
      <c r="M5" s="40" t="s">
        <v>42</v>
      </c>
      <c r="N5" s="47" t="s">
        <v>0</v>
      </c>
      <c r="O5" s="34"/>
      <c r="P5" s="42" t="s">
        <v>41</v>
      </c>
      <c r="Q5" s="40" t="s">
        <v>42</v>
      </c>
      <c r="R5" s="38" t="s">
        <v>0</v>
      </c>
      <c r="S5" s="39" t="s">
        <v>41</v>
      </c>
      <c r="T5" s="40" t="s">
        <v>42</v>
      </c>
      <c r="U5" s="41" t="s">
        <v>0</v>
      </c>
      <c r="V5" s="42" t="s">
        <v>41</v>
      </c>
      <c r="W5" s="42" t="s">
        <v>42</v>
      </c>
      <c r="X5" s="41" t="s">
        <v>0</v>
      </c>
      <c r="Y5" s="39" t="s">
        <v>41</v>
      </c>
      <c r="Z5" s="40" t="s">
        <v>42</v>
      </c>
      <c r="AA5" s="38" t="s">
        <v>0</v>
      </c>
      <c r="AB5" s="43" t="s">
        <v>41</v>
      </c>
      <c r="AC5" s="44" t="s">
        <v>42</v>
      </c>
      <c r="AD5" s="45" t="s">
        <v>0</v>
      </c>
      <c r="AE5" s="43" t="s">
        <v>41</v>
      </c>
      <c r="AF5" s="44" t="s">
        <v>42</v>
      </c>
      <c r="AG5" s="45" t="s">
        <v>0</v>
      </c>
      <c r="AH5" s="43" t="s">
        <v>41</v>
      </c>
      <c r="AI5" s="44" t="s">
        <v>42</v>
      </c>
      <c r="AJ5" s="45" t="s">
        <v>0</v>
      </c>
      <c r="AK5" s="407" t="s">
        <v>41</v>
      </c>
      <c r="AL5" s="143" t="s">
        <v>42</v>
      </c>
      <c r="AM5" s="132" t="s">
        <v>0</v>
      </c>
      <c r="AN5" s="39" t="s">
        <v>41</v>
      </c>
      <c r="AO5" s="40" t="s">
        <v>42</v>
      </c>
      <c r="AP5" s="41" t="s">
        <v>0</v>
      </c>
      <c r="AQ5" s="136" t="s">
        <v>41</v>
      </c>
      <c r="AR5" s="391" t="s">
        <v>42</v>
      </c>
      <c r="AS5" s="132" t="s">
        <v>0</v>
      </c>
      <c r="AT5" s="41" t="s">
        <v>0</v>
      </c>
      <c r="AU5" s="39" t="s">
        <v>41</v>
      </c>
      <c r="AV5" s="40" t="s">
        <v>42</v>
      </c>
      <c r="AW5" s="41" t="s">
        <v>0</v>
      </c>
      <c r="AX5" s="46" t="s">
        <v>41</v>
      </c>
      <c r="AY5" s="35"/>
      <c r="AZ5" s="39" t="s">
        <v>41</v>
      </c>
      <c r="BA5" s="40" t="s">
        <v>42</v>
      </c>
      <c r="BB5" s="47" t="s">
        <v>0</v>
      </c>
      <c r="BC5" s="39" t="s">
        <v>41</v>
      </c>
      <c r="BD5" s="40" t="s">
        <v>42</v>
      </c>
      <c r="BE5" s="41" t="s">
        <v>0</v>
      </c>
      <c r="BF5" s="42" t="s">
        <v>41</v>
      </c>
      <c r="BG5" s="40" t="s">
        <v>42</v>
      </c>
      <c r="BH5" s="41" t="s">
        <v>0</v>
      </c>
      <c r="BI5" s="39" t="s">
        <v>41</v>
      </c>
      <c r="BJ5" s="40" t="s">
        <v>42</v>
      </c>
      <c r="BK5" s="41" t="s">
        <v>0</v>
      </c>
      <c r="BL5" s="35"/>
      <c r="BM5" s="39" t="s">
        <v>41</v>
      </c>
      <c r="BN5" s="40" t="s">
        <v>42</v>
      </c>
      <c r="BO5" s="41" t="s">
        <v>0</v>
      </c>
      <c r="BP5" s="136" t="s">
        <v>41</v>
      </c>
      <c r="BQ5" s="137" t="s">
        <v>42</v>
      </c>
      <c r="BR5" s="301" t="s">
        <v>0</v>
      </c>
      <c r="BS5" s="42"/>
      <c r="BT5" s="40" t="s">
        <v>42</v>
      </c>
      <c r="BU5" s="47" t="s">
        <v>0</v>
      </c>
      <c r="BV5" s="39" t="s">
        <v>41</v>
      </c>
      <c r="BW5" s="40" t="s">
        <v>42</v>
      </c>
      <c r="BX5" s="41" t="s">
        <v>0</v>
      </c>
      <c r="BY5" s="125"/>
      <c r="BZ5" s="39" t="s">
        <v>41</v>
      </c>
      <c r="CA5" s="40" t="s">
        <v>42</v>
      </c>
      <c r="CB5" s="47" t="s">
        <v>0</v>
      </c>
      <c r="CC5" s="43"/>
      <c r="CD5" s="44"/>
      <c r="CE5" s="45"/>
      <c r="CF5" s="702" t="s">
        <v>41</v>
      </c>
      <c r="CG5" s="464" t="s">
        <v>42</v>
      </c>
      <c r="CH5" s="629" t="s">
        <v>0</v>
      </c>
      <c r="CI5" s="630"/>
      <c r="CJ5" s="44"/>
      <c r="CK5" s="45"/>
      <c r="CL5" s="407" t="s">
        <v>41</v>
      </c>
      <c r="CM5" s="143" t="s">
        <v>42</v>
      </c>
      <c r="CN5" s="132" t="s">
        <v>0</v>
      </c>
    </row>
    <row r="6" spans="1:93" ht="21" thickBot="1">
      <c r="A6" s="414">
        <v>1</v>
      </c>
      <c r="B6" s="670" t="s">
        <v>2</v>
      </c>
      <c r="C6" s="259">
        <v>25</v>
      </c>
      <c r="D6" s="331"/>
      <c r="E6" s="332"/>
      <c r="F6" s="259"/>
      <c r="G6" s="383"/>
      <c r="H6" s="333"/>
      <c r="I6" s="183">
        <v>10</v>
      </c>
      <c r="J6" s="253"/>
      <c r="K6" s="331"/>
      <c r="L6" s="221"/>
      <c r="M6" s="303"/>
      <c r="N6" s="334"/>
      <c r="O6" s="131" t="s">
        <v>2</v>
      </c>
      <c r="P6" s="53"/>
      <c r="Q6" s="54"/>
      <c r="R6" s="52"/>
      <c r="S6" s="87"/>
      <c r="T6" s="122"/>
      <c r="U6" s="93"/>
      <c r="V6" s="53"/>
      <c r="W6" s="54"/>
      <c r="X6" s="52"/>
      <c r="Y6" s="50"/>
      <c r="Z6" s="54"/>
      <c r="AA6" s="56"/>
      <c r="AB6" s="349">
        <v>15</v>
      </c>
      <c r="AC6" s="350">
        <v>12.6</v>
      </c>
      <c r="AD6" s="351"/>
      <c r="AE6" s="349"/>
      <c r="AF6" s="350"/>
      <c r="AG6" s="351"/>
      <c r="AH6" s="349"/>
      <c r="AI6" s="350"/>
      <c r="AJ6" s="760"/>
      <c r="AK6" s="354"/>
      <c r="AL6" s="767"/>
      <c r="AM6" s="768"/>
      <c r="AN6" s="352"/>
      <c r="AO6" s="353"/>
      <c r="AP6" s="351" t="e">
        <f>(AO6/AN6)*100</f>
        <v>#DIV/0!</v>
      </c>
      <c r="AQ6" s="354">
        <v>4.2</v>
      </c>
      <c r="AR6" s="392"/>
      <c r="AS6" s="355"/>
      <c r="AT6" s="356">
        <f aca="true" t="shared" si="0" ref="AT6:AT25">(AR6/AQ6)*100</f>
        <v>0</v>
      </c>
      <c r="AU6" s="349"/>
      <c r="AV6" s="350"/>
      <c r="AW6" s="351"/>
      <c r="AX6" s="357"/>
      <c r="AY6" s="48" t="s">
        <v>2</v>
      </c>
      <c r="AZ6" s="50"/>
      <c r="BA6" s="54"/>
      <c r="BB6" s="52"/>
      <c r="BC6" s="50"/>
      <c r="BD6" s="54"/>
      <c r="BE6" s="52"/>
      <c r="BF6" s="50"/>
      <c r="BG6" s="54"/>
      <c r="BH6" s="52"/>
      <c r="BI6" s="50"/>
      <c r="BJ6" s="54"/>
      <c r="BK6" s="52"/>
      <c r="BL6" s="48" t="s">
        <v>2</v>
      </c>
      <c r="BM6" s="50"/>
      <c r="BN6" s="54"/>
      <c r="BO6" s="52"/>
      <c r="BP6" s="302">
        <v>311.48643</v>
      </c>
      <c r="BQ6" s="303"/>
      <c r="BR6" s="89">
        <f>(BQ6/BP6)*100</f>
        <v>0</v>
      </c>
      <c r="BS6" s="60">
        <v>2.04418</v>
      </c>
      <c r="BT6" s="54"/>
      <c r="BU6" s="64">
        <f>(BT6/BS6)*100</f>
        <v>0</v>
      </c>
      <c r="BV6" s="50"/>
      <c r="BW6" s="54"/>
      <c r="BX6" s="52"/>
      <c r="BY6" s="48" t="s">
        <v>2</v>
      </c>
      <c r="BZ6" s="50"/>
      <c r="CA6" s="54"/>
      <c r="CB6" s="51"/>
      <c r="CC6" s="697"/>
      <c r="CD6" s="691"/>
      <c r="CE6" s="135" t="e">
        <f>CD6/CC6*100</f>
        <v>#DIV/0!</v>
      </c>
      <c r="CF6" s="688"/>
      <c r="CG6" s="689"/>
      <c r="CH6" s="89" t="e">
        <f>(CG6/CF6)*100</f>
        <v>#DIV/0!</v>
      </c>
      <c r="CI6" s="626"/>
      <c r="CJ6" s="308"/>
      <c r="CK6" s="64"/>
      <c r="CL6" s="773">
        <f>C6+F6+I6+L6+P6+AN6+AQ6+AU6+AZ6+BC6+BF6+BI6+BM6+BP6+BS6+BV6+BZ6+Y6+AB6+CC6</f>
        <v>367.73060999999996</v>
      </c>
      <c r="CM6" s="221">
        <f>D6+G6+J6+M6+Q6+AR6+AV6+BA6+BD6+BG6+BJ6+BN6+BQ6+BT6+BW6+CA6+Z6+AC6+AO6+CD6</f>
        <v>12.6</v>
      </c>
      <c r="CN6" s="89">
        <f>(CM6/CL6)*100</f>
        <v>3.4264213142332647</v>
      </c>
      <c r="CO6" s="275"/>
    </row>
    <row r="7" spans="1:93" ht="21" thickBot="1">
      <c r="A7" s="411" t="s">
        <v>3</v>
      </c>
      <c r="B7" s="671" t="s">
        <v>4</v>
      </c>
      <c r="C7" s="335"/>
      <c r="D7" s="178"/>
      <c r="E7" s="332"/>
      <c r="F7" s="335"/>
      <c r="G7" s="384"/>
      <c r="H7" s="333"/>
      <c r="I7" s="155"/>
      <c r="J7" s="254"/>
      <c r="K7" s="331"/>
      <c r="L7" s="155"/>
      <c r="M7" s="254"/>
      <c r="N7" s="332"/>
      <c r="O7" s="131" t="s">
        <v>4</v>
      </c>
      <c r="P7" s="62"/>
      <c r="Q7" s="63"/>
      <c r="R7" s="52"/>
      <c r="S7" s="60"/>
      <c r="T7" s="63"/>
      <c r="U7" s="64"/>
      <c r="V7" s="62"/>
      <c r="W7" s="63"/>
      <c r="X7" s="52"/>
      <c r="Y7" s="60"/>
      <c r="Z7" s="63"/>
      <c r="AA7" s="65"/>
      <c r="AB7" s="358"/>
      <c r="AC7" s="359"/>
      <c r="AD7" s="351"/>
      <c r="AE7" s="358"/>
      <c r="AF7" s="359"/>
      <c r="AG7" s="351"/>
      <c r="AH7" s="358"/>
      <c r="AI7" s="359"/>
      <c r="AJ7" s="761"/>
      <c r="AK7" s="358"/>
      <c r="AL7" s="359"/>
      <c r="AM7" s="360"/>
      <c r="AN7" s="764"/>
      <c r="AO7" s="353"/>
      <c r="AP7" s="351"/>
      <c r="AQ7" s="358"/>
      <c r="AR7" s="384"/>
      <c r="AS7" s="361"/>
      <c r="AT7" s="356" t="e">
        <f t="shared" si="0"/>
        <v>#DIV/0!</v>
      </c>
      <c r="AU7" s="358"/>
      <c r="AV7" s="359"/>
      <c r="AW7" s="351"/>
      <c r="AX7" s="362"/>
      <c r="AY7" s="48" t="s">
        <v>4</v>
      </c>
      <c r="AZ7" s="60"/>
      <c r="BA7" s="63"/>
      <c r="BB7" s="52"/>
      <c r="BC7" s="60"/>
      <c r="BD7" s="63"/>
      <c r="BE7" s="52"/>
      <c r="BF7" s="60"/>
      <c r="BG7" s="63"/>
      <c r="BH7" s="52"/>
      <c r="BI7" s="60">
        <v>114.32635</v>
      </c>
      <c r="BJ7" s="63">
        <v>32.2734</v>
      </c>
      <c r="BK7" s="52"/>
      <c r="BL7" s="48" t="s">
        <v>4</v>
      </c>
      <c r="BM7" s="60"/>
      <c r="BN7" s="63"/>
      <c r="BO7" s="64"/>
      <c r="BP7" s="66">
        <v>1.05232</v>
      </c>
      <c r="BQ7" s="63"/>
      <c r="BR7" s="64">
        <f aca="true" t="shared" si="1" ref="BR7:BR25">(BQ7/BP7)*100</f>
        <v>0</v>
      </c>
      <c r="BS7" s="60">
        <v>3.07449</v>
      </c>
      <c r="BT7" s="63"/>
      <c r="BU7" s="64"/>
      <c r="BV7" s="60"/>
      <c r="BW7" s="63"/>
      <c r="BX7" s="52"/>
      <c r="BY7" s="48" t="s">
        <v>4</v>
      </c>
      <c r="BZ7" s="60"/>
      <c r="CA7" s="63"/>
      <c r="CB7" s="51"/>
      <c r="CC7" s="697"/>
      <c r="CD7" s="691"/>
      <c r="CE7" s="135"/>
      <c r="CF7" s="690"/>
      <c r="CG7" s="281"/>
      <c r="CH7" s="64" t="e">
        <f>(CG7/CF7)*100</f>
        <v>#DIV/0!</v>
      </c>
      <c r="CI7" s="626"/>
      <c r="CJ7" s="308"/>
      <c r="CK7" s="64"/>
      <c r="CL7" s="773">
        <f>C7+F7+I7+L7+P7+AN7+AQ7+AU7+AZ7+BC7+BF7+BI7+BM7+BP7+BS7+BV7+BZ7+Y7+AB7</f>
        <v>118.45316</v>
      </c>
      <c r="CM7" s="221">
        <f>D7+G7+J7+M7+Q7+AR7+AV7+BA7+BD7+BG7+BJ7+BN7+BQ7+BT7+BW7+CA7+Z7+AC7+AO7</f>
        <v>32.2734</v>
      </c>
      <c r="CN7" s="64">
        <f>CM7</f>
        <v>32.2734</v>
      </c>
      <c r="CO7" s="275"/>
    </row>
    <row r="8" spans="1:93" ht="21" thickBot="1">
      <c r="A8" s="411" t="s">
        <v>5</v>
      </c>
      <c r="B8" s="671" t="s">
        <v>6</v>
      </c>
      <c r="C8" s="335"/>
      <c r="D8" s="178"/>
      <c r="E8" s="332"/>
      <c r="F8" s="335"/>
      <c r="G8" s="384"/>
      <c r="H8" s="333"/>
      <c r="I8" s="155"/>
      <c r="J8" s="254"/>
      <c r="K8" s="331"/>
      <c r="L8" s="155"/>
      <c r="M8" s="254"/>
      <c r="N8" s="332"/>
      <c r="O8" s="131" t="s">
        <v>6</v>
      </c>
      <c r="P8" s="62"/>
      <c r="Q8" s="68"/>
      <c r="R8" s="52"/>
      <c r="S8" s="60"/>
      <c r="T8" s="63"/>
      <c r="U8" s="64"/>
      <c r="V8" s="62"/>
      <c r="W8" s="63"/>
      <c r="X8" s="52"/>
      <c r="Y8" s="60"/>
      <c r="Z8" s="63"/>
      <c r="AA8" s="65"/>
      <c r="AB8" s="358"/>
      <c r="AC8" s="359"/>
      <c r="AD8" s="351"/>
      <c r="AE8" s="358"/>
      <c r="AF8" s="359"/>
      <c r="AG8" s="351"/>
      <c r="AH8" s="358"/>
      <c r="AI8" s="359"/>
      <c r="AJ8" s="761"/>
      <c r="AK8" s="358"/>
      <c r="AL8" s="359"/>
      <c r="AM8" s="360"/>
      <c r="AN8" s="764"/>
      <c r="AO8" s="353"/>
      <c r="AP8" s="351" t="e">
        <f>(AO8/AN8)*100</f>
        <v>#DIV/0!</v>
      </c>
      <c r="AQ8" s="358"/>
      <c r="AR8" s="384"/>
      <c r="AS8" s="361"/>
      <c r="AT8" s="356" t="e">
        <f t="shared" si="0"/>
        <v>#DIV/0!</v>
      </c>
      <c r="AU8" s="358"/>
      <c r="AV8" s="359"/>
      <c r="AW8" s="351"/>
      <c r="AX8" s="362"/>
      <c r="AY8" s="48" t="s">
        <v>6</v>
      </c>
      <c r="AZ8" s="60"/>
      <c r="BA8" s="68"/>
      <c r="BB8" s="52"/>
      <c r="BC8" s="60"/>
      <c r="BD8" s="63"/>
      <c r="BE8" s="52"/>
      <c r="BF8" s="60"/>
      <c r="BG8" s="63"/>
      <c r="BH8" s="52"/>
      <c r="BI8" s="60"/>
      <c r="BJ8" s="68"/>
      <c r="BK8" s="52"/>
      <c r="BL8" s="48" t="s">
        <v>6</v>
      </c>
      <c r="BM8" s="60"/>
      <c r="BN8" s="63"/>
      <c r="BO8" s="52"/>
      <c r="BP8" s="66">
        <v>427.7</v>
      </c>
      <c r="BQ8" s="63">
        <v>426.82118</v>
      </c>
      <c r="BR8" s="64">
        <f t="shared" si="1"/>
        <v>99.79452419920506</v>
      </c>
      <c r="BS8" s="60">
        <v>5.93028</v>
      </c>
      <c r="BT8" s="63">
        <v>4.8</v>
      </c>
      <c r="BU8" s="64">
        <f>(BT8/BS8)*100</f>
        <v>80.94052894635666</v>
      </c>
      <c r="BV8" s="60"/>
      <c r="BW8" s="63"/>
      <c r="BX8" s="52"/>
      <c r="BY8" s="48" t="s">
        <v>6</v>
      </c>
      <c r="BZ8" s="60"/>
      <c r="CA8" s="63"/>
      <c r="CB8" s="51"/>
      <c r="CC8" s="697"/>
      <c r="CD8" s="691"/>
      <c r="CE8" s="135"/>
      <c r="CF8" s="690"/>
      <c r="CG8" s="281"/>
      <c r="CH8" s="64" t="e">
        <f aca="true" t="shared" si="2" ref="CH8:CH24">(CG8/CF8)*100</f>
        <v>#DIV/0!</v>
      </c>
      <c r="CI8" s="626"/>
      <c r="CJ8" s="308"/>
      <c r="CK8" s="64"/>
      <c r="CL8" s="774">
        <f>C8+F8+I8+L8+P8+AN8+AQ8+AU8+AZ8+BC8+BF8+BI8+BM8+BP8+BS8+BV8+BZ8+Y8+AB8</f>
        <v>433.63027999999997</v>
      </c>
      <c r="CM8" s="221">
        <f>D8+G8+J8+M8+Q8+AR8+AV8+BA8+BD8+BG8+BJ8+BN8+BQ8+BT8+BW8+CA8+Z8+AC8+AO8</f>
        <v>431.62118000000004</v>
      </c>
      <c r="CN8" s="64">
        <f aca="true" t="shared" si="3" ref="CN8:CN27">(CM8/CL8)*100</f>
        <v>99.53667903449917</v>
      </c>
      <c r="CO8" s="275"/>
    </row>
    <row r="9" spans="1:93" ht="21" thickBot="1">
      <c r="A9" s="411" t="s">
        <v>7</v>
      </c>
      <c r="B9" s="671" t="s">
        <v>8</v>
      </c>
      <c r="C9" s="335">
        <v>3.56486</v>
      </c>
      <c r="D9" s="178">
        <v>3.332</v>
      </c>
      <c r="E9" s="332"/>
      <c r="F9" s="335"/>
      <c r="G9" s="384"/>
      <c r="H9" s="333"/>
      <c r="I9" s="155">
        <v>6</v>
      </c>
      <c r="J9" s="254">
        <v>4.4</v>
      </c>
      <c r="K9" s="331"/>
      <c r="L9" s="155"/>
      <c r="M9" s="254"/>
      <c r="N9" s="332"/>
      <c r="O9" s="131" t="s">
        <v>8</v>
      </c>
      <c r="P9" s="62"/>
      <c r="Q9" s="63"/>
      <c r="R9" s="52"/>
      <c r="S9" s="60"/>
      <c r="T9" s="63"/>
      <c r="U9" s="64"/>
      <c r="V9" s="62"/>
      <c r="W9" s="63"/>
      <c r="X9" s="52"/>
      <c r="Y9" s="60"/>
      <c r="Z9" s="63"/>
      <c r="AA9" s="65"/>
      <c r="AB9" s="358">
        <v>27</v>
      </c>
      <c r="AC9" s="359"/>
      <c r="AD9" s="351"/>
      <c r="AE9" s="358"/>
      <c r="AF9" s="359"/>
      <c r="AG9" s="351"/>
      <c r="AH9" s="358"/>
      <c r="AI9" s="359"/>
      <c r="AJ9" s="761"/>
      <c r="AK9" s="358"/>
      <c r="AL9" s="359"/>
      <c r="AM9" s="360"/>
      <c r="AN9" s="764"/>
      <c r="AO9" s="353"/>
      <c r="AP9" s="351"/>
      <c r="AQ9" s="358">
        <v>10</v>
      </c>
      <c r="AR9" s="384">
        <v>8.68</v>
      </c>
      <c r="AS9" s="361"/>
      <c r="AT9" s="356">
        <f t="shared" si="0"/>
        <v>86.8</v>
      </c>
      <c r="AU9" s="358"/>
      <c r="AV9" s="359"/>
      <c r="AW9" s="351"/>
      <c r="AX9" s="362"/>
      <c r="AY9" s="48" t="s">
        <v>8</v>
      </c>
      <c r="AZ9" s="60"/>
      <c r="BA9" s="63"/>
      <c r="BB9" s="52"/>
      <c r="BC9" s="60"/>
      <c r="BD9" s="63"/>
      <c r="BE9" s="52"/>
      <c r="BF9" s="60"/>
      <c r="BG9" s="63"/>
      <c r="BH9" s="52"/>
      <c r="BI9" s="60">
        <v>64</v>
      </c>
      <c r="BJ9" s="63"/>
      <c r="BK9" s="52"/>
      <c r="BL9" s="48" t="s">
        <v>8</v>
      </c>
      <c r="BM9" s="60"/>
      <c r="BN9" s="63"/>
      <c r="BO9" s="52"/>
      <c r="BP9" s="66"/>
      <c r="BQ9" s="63"/>
      <c r="BR9" s="64" t="e">
        <f t="shared" si="1"/>
        <v>#DIV/0!</v>
      </c>
      <c r="BS9" s="60">
        <v>5.32808</v>
      </c>
      <c r="BT9" s="63"/>
      <c r="BU9" s="64">
        <f>(BT9/BS9)*100</f>
        <v>0</v>
      </c>
      <c r="BV9" s="60"/>
      <c r="BW9" s="63"/>
      <c r="BX9" s="52"/>
      <c r="BY9" s="48" t="s">
        <v>8</v>
      </c>
      <c r="BZ9" s="60"/>
      <c r="CA9" s="63"/>
      <c r="CB9" s="51"/>
      <c r="CC9" s="697"/>
      <c r="CD9" s="691"/>
      <c r="CE9" s="135"/>
      <c r="CF9" s="690"/>
      <c r="CG9" s="281"/>
      <c r="CH9" s="64" t="e">
        <f t="shared" si="2"/>
        <v>#DIV/0!</v>
      </c>
      <c r="CI9" s="626"/>
      <c r="CJ9" s="308"/>
      <c r="CK9" s="64"/>
      <c r="CL9" s="773">
        <f>C9+F9+I9+L9+P9+AQ9+AU9+AZ9+BC9+BF9+BI9+BM9+BP9+BS9+BV9+BZ9+Y9+AB9</f>
        <v>115.89294</v>
      </c>
      <c r="CM9" s="221">
        <f>D9+G9+J9+M9+Q9+AR9+AV9+BA9+BD9+BG9+BJ9+BN9+BQ9+BT9+BW9+CA9+Z9+AC9+AO9</f>
        <v>16.412</v>
      </c>
      <c r="CN9" s="64">
        <f t="shared" si="3"/>
        <v>14.161345807604848</v>
      </c>
      <c r="CO9" s="275"/>
    </row>
    <row r="10" spans="1:93" ht="21" thickBot="1">
      <c r="A10" s="411" t="s">
        <v>9</v>
      </c>
      <c r="B10" s="671" t="s">
        <v>10</v>
      </c>
      <c r="C10" s="335">
        <v>6.50395</v>
      </c>
      <c r="D10" s="178">
        <v>6.43114</v>
      </c>
      <c r="E10" s="333">
        <f>(D10/C10)*100</f>
        <v>98.88052644931157</v>
      </c>
      <c r="F10" s="335"/>
      <c r="G10" s="384"/>
      <c r="H10" s="333"/>
      <c r="I10" s="155"/>
      <c r="J10" s="254"/>
      <c r="K10" s="331"/>
      <c r="L10" s="155"/>
      <c r="M10" s="254"/>
      <c r="N10" s="332"/>
      <c r="O10" s="131" t="s">
        <v>10</v>
      </c>
      <c r="P10" s="62"/>
      <c r="Q10" s="63"/>
      <c r="R10" s="52"/>
      <c r="S10" s="60"/>
      <c r="T10" s="63"/>
      <c r="U10" s="64"/>
      <c r="V10" s="62"/>
      <c r="W10" s="63"/>
      <c r="X10" s="52"/>
      <c r="Y10" s="60"/>
      <c r="Z10" s="63"/>
      <c r="AA10" s="65"/>
      <c r="AB10" s="358"/>
      <c r="AC10" s="359"/>
      <c r="AD10" s="351"/>
      <c r="AE10" s="358"/>
      <c r="AF10" s="359"/>
      <c r="AG10" s="351"/>
      <c r="AH10" s="358"/>
      <c r="AI10" s="359"/>
      <c r="AJ10" s="761"/>
      <c r="AK10" s="358"/>
      <c r="AL10" s="359"/>
      <c r="AM10" s="360"/>
      <c r="AN10" s="764"/>
      <c r="AO10" s="353"/>
      <c r="AP10" s="351" t="e">
        <f>(AO10/AN10)*100</f>
        <v>#DIV/0!</v>
      </c>
      <c r="AQ10" s="358">
        <v>8.27</v>
      </c>
      <c r="AR10" s="384">
        <v>8.25</v>
      </c>
      <c r="AS10" s="361"/>
      <c r="AT10" s="356">
        <f t="shared" si="0"/>
        <v>99.75816203143894</v>
      </c>
      <c r="AU10" s="358"/>
      <c r="AV10" s="359"/>
      <c r="AW10" s="351"/>
      <c r="AX10" s="362"/>
      <c r="AY10" s="48" t="s">
        <v>10</v>
      </c>
      <c r="AZ10" s="60"/>
      <c r="BA10" s="63"/>
      <c r="BB10" s="52"/>
      <c r="BC10" s="60"/>
      <c r="BD10" s="63"/>
      <c r="BE10" s="52"/>
      <c r="BF10" s="60"/>
      <c r="BG10" s="63"/>
      <c r="BH10" s="52"/>
      <c r="BI10" s="60"/>
      <c r="BJ10" s="63"/>
      <c r="BK10" s="52"/>
      <c r="BL10" s="48" t="s">
        <v>10</v>
      </c>
      <c r="BM10" s="60"/>
      <c r="BN10" s="63"/>
      <c r="BO10" s="52"/>
      <c r="BP10" s="66"/>
      <c r="BQ10" s="63"/>
      <c r="BR10" s="64" t="e">
        <f t="shared" si="1"/>
        <v>#DIV/0!</v>
      </c>
      <c r="BS10" s="60">
        <v>1.9</v>
      </c>
      <c r="BT10" s="63"/>
      <c r="BU10" s="64">
        <f>(BT10/BS10)*100</f>
        <v>0</v>
      </c>
      <c r="BV10" s="60"/>
      <c r="BW10" s="63"/>
      <c r="BX10" s="52"/>
      <c r="BY10" s="48" t="s">
        <v>10</v>
      </c>
      <c r="BZ10" s="60">
        <v>1000</v>
      </c>
      <c r="CA10" s="63"/>
      <c r="CB10" s="51"/>
      <c r="CC10" s="697"/>
      <c r="CD10" s="691"/>
      <c r="CE10" s="135"/>
      <c r="CF10" s="690"/>
      <c r="CG10" s="281"/>
      <c r="CH10" s="64" t="e">
        <f t="shared" si="2"/>
        <v>#DIV/0!</v>
      </c>
      <c r="CI10" s="626"/>
      <c r="CJ10" s="308"/>
      <c r="CK10" s="64"/>
      <c r="CL10" s="773">
        <f>C10+F10+I10+L10+P10+AN10+AQ10+AU10+AZ10+BC10+BF10+BI10+BM10+BP10+BS10+BV10+BZ10+Y10+AB10+CC10</f>
        <v>1016.67395</v>
      </c>
      <c r="CM10" s="221">
        <f>D10+G10+J10+M10+Q10+AR10+AV10+BA10+BD10+BG10+BJ10+BN10+BQ10+BT10+BW10+CA10+Z10+AC10+AO10+CD10</f>
        <v>14.68114</v>
      </c>
      <c r="CN10" s="64">
        <f t="shared" si="3"/>
        <v>1.4440362123963144</v>
      </c>
      <c r="CO10" s="275"/>
    </row>
    <row r="11" spans="1:93" ht="21" thickBot="1">
      <c r="A11" s="411" t="s">
        <v>11</v>
      </c>
      <c r="B11" s="671" t="s">
        <v>12</v>
      </c>
      <c r="C11" s="335"/>
      <c r="D11" s="178"/>
      <c r="E11" s="333" t="e">
        <f aca="true" t="shared" si="4" ref="E11:E23">(D11/C11)*100</f>
        <v>#DIV/0!</v>
      </c>
      <c r="F11" s="335"/>
      <c r="G11" s="384"/>
      <c r="H11" s="333"/>
      <c r="I11" s="155"/>
      <c r="J11" s="254"/>
      <c r="K11" s="178"/>
      <c r="L11" s="155"/>
      <c r="M11" s="254"/>
      <c r="N11" s="332"/>
      <c r="O11" s="131" t="s">
        <v>12</v>
      </c>
      <c r="P11" s="62"/>
      <c r="Q11" s="63"/>
      <c r="R11" s="52"/>
      <c r="S11" s="60"/>
      <c r="T11" s="63"/>
      <c r="U11" s="64"/>
      <c r="V11" s="62"/>
      <c r="W11" s="63"/>
      <c r="X11" s="52"/>
      <c r="Y11" s="60"/>
      <c r="Z11" s="63"/>
      <c r="AA11" s="65"/>
      <c r="AB11" s="358"/>
      <c r="AC11" s="359"/>
      <c r="AD11" s="351"/>
      <c r="AE11" s="358"/>
      <c r="AF11" s="359"/>
      <c r="AG11" s="351"/>
      <c r="AH11" s="358"/>
      <c r="AI11" s="359"/>
      <c r="AJ11" s="761"/>
      <c r="AK11" s="358"/>
      <c r="AL11" s="359"/>
      <c r="AM11" s="360"/>
      <c r="AN11" s="764">
        <v>146</v>
      </c>
      <c r="AO11" s="353"/>
      <c r="AP11" s="351"/>
      <c r="AQ11" s="358">
        <v>0.868</v>
      </c>
      <c r="AR11" s="384"/>
      <c r="AS11" s="361"/>
      <c r="AT11" s="356">
        <f t="shared" si="0"/>
        <v>0</v>
      </c>
      <c r="AU11" s="358"/>
      <c r="AV11" s="359"/>
      <c r="AW11" s="351"/>
      <c r="AX11" s="362"/>
      <c r="AY11" s="48" t="s">
        <v>12</v>
      </c>
      <c r="AZ11" s="60"/>
      <c r="BA11" s="63"/>
      <c r="BB11" s="52"/>
      <c r="BC11" s="60"/>
      <c r="BD11" s="63"/>
      <c r="BE11" s="52"/>
      <c r="BF11" s="60"/>
      <c r="BG11" s="63"/>
      <c r="BH11" s="52"/>
      <c r="BI11" s="60">
        <v>106.315</v>
      </c>
      <c r="BJ11" s="63"/>
      <c r="BK11" s="52"/>
      <c r="BL11" s="48" t="s">
        <v>12</v>
      </c>
      <c r="BM11" s="60"/>
      <c r="BN11" s="63"/>
      <c r="BO11" s="52"/>
      <c r="BP11" s="66"/>
      <c r="BQ11" s="63"/>
      <c r="BR11" s="64" t="e">
        <f t="shared" si="1"/>
        <v>#DIV/0!</v>
      </c>
      <c r="BS11" s="60">
        <v>1.1</v>
      </c>
      <c r="BT11" s="63"/>
      <c r="BU11" s="64"/>
      <c r="BV11" s="60"/>
      <c r="BW11" s="68"/>
      <c r="BX11" s="52"/>
      <c r="BY11" s="48" t="s">
        <v>12</v>
      </c>
      <c r="BZ11" s="60"/>
      <c r="CA11" s="63"/>
      <c r="CB11" s="51"/>
      <c r="CC11" s="697"/>
      <c r="CD11" s="691"/>
      <c r="CE11" s="135"/>
      <c r="CF11" s="690"/>
      <c r="CG11" s="281"/>
      <c r="CH11" s="64" t="e">
        <f t="shared" si="2"/>
        <v>#DIV/0!</v>
      </c>
      <c r="CI11" s="626"/>
      <c r="CJ11" s="308"/>
      <c r="CK11" s="64"/>
      <c r="CL11" s="773">
        <f>C11+F11+I11+L11+P11+AN11+AQ11+AU11+AZ11+BC11+BF11+BI11+BM11+BP11+BS11+BV11+BZ11+Y11+AB11</f>
        <v>254.283</v>
      </c>
      <c r="CM11" s="221">
        <f>D11+G11+J11+M11+Q11+AR11+AV11+BA11+BD11+BG11+BJ11+BN11+BQ11+BT11+BW11+CA11+Z11+AC11+AO11</f>
        <v>0</v>
      </c>
      <c r="CN11" s="64">
        <f t="shared" si="3"/>
        <v>0</v>
      </c>
      <c r="CO11" s="275"/>
    </row>
    <row r="12" spans="1:93" ht="21" thickBot="1">
      <c r="A12" s="411" t="s">
        <v>13</v>
      </c>
      <c r="B12" s="671" t="s">
        <v>14</v>
      </c>
      <c r="C12" s="335"/>
      <c r="D12" s="178"/>
      <c r="E12" s="333"/>
      <c r="F12" s="335"/>
      <c r="G12" s="384"/>
      <c r="H12" s="333"/>
      <c r="I12" s="155"/>
      <c r="J12" s="254"/>
      <c r="K12" s="331"/>
      <c r="L12" s="155"/>
      <c r="M12" s="254"/>
      <c r="N12" s="332"/>
      <c r="O12" s="131" t="s">
        <v>14</v>
      </c>
      <c r="P12" s="62"/>
      <c r="Q12" s="63"/>
      <c r="R12" s="52"/>
      <c r="S12" s="60"/>
      <c r="T12" s="63"/>
      <c r="U12" s="64"/>
      <c r="V12" s="62"/>
      <c r="W12" s="63"/>
      <c r="X12" s="52"/>
      <c r="Y12" s="60"/>
      <c r="Z12" s="63"/>
      <c r="AA12" s="65"/>
      <c r="AB12" s="358">
        <v>200</v>
      </c>
      <c r="AC12" s="359"/>
      <c r="AD12" s="351"/>
      <c r="AE12" s="358"/>
      <c r="AF12" s="359"/>
      <c r="AG12" s="351"/>
      <c r="AH12" s="358"/>
      <c r="AI12" s="359"/>
      <c r="AJ12" s="761"/>
      <c r="AK12" s="358"/>
      <c r="AL12" s="359"/>
      <c r="AM12" s="360"/>
      <c r="AN12" s="764"/>
      <c r="AO12" s="353"/>
      <c r="AP12" s="351"/>
      <c r="AQ12" s="358"/>
      <c r="AR12" s="384"/>
      <c r="AS12" s="361"/>
      <c r="AT12" s="356" t="e">
        <f t="shared" si="0"/>
        <v>#DIV/0!</v>
      </c>
      <c r="AU12" s="358"/>
      <c r="AV12" s="359"/>
      <c r="AW12" s="351"/>
      <c r="AX12" s="362"/>
      <c r="AY12" s="48" t="s">
        <v>14</v>
      </c>
      <c r="AZ12" s="60"/>
      <c r="BA12" s="63"/>
      <c r="BB12" s="52"/>
      <c r="BC12" s="60"/>
      <c r="BD12" s="63"/>
      <c r="BE12" s="52"/>
      <c r="BF12" s="60"/>
      <c r="BG12" s="63"/>
      <c r="BH12" s="52"/>
      <c r="BI12" s="60">
        <v>60</v>
      </c>
      <c r="BJ12" s="63"/>
      <c r="BK12" s="52"/>
      <c r="BL12" s="48" t="s">
        <v>14</v>
      </c>
      <c r="BM12" s="60"/>
      <c r="BN12" s="63"/>
      <c r="BO12" s="52"/>
      <c r="BP12" s="66"/>
      <c r="BQ12" s="63"/>
      <c r="BR12" s="64" t="e">
        <f t="shared" si="1"/>
        <v>#DIV/0!</v>
      </c>
      <c r="BS12" s="60">
        <v>0.2</v>
      </c>
      <c r="BT12" s="431"/>
      <c r="BU12" s="64"/>
      <c r="BV12" s="60"/>
      <c r="BW12" s="63"/>
      <c r="BX12" s="52"/>
      <c r="BY12" s="48" t="s">
        <v>14</v>
      </c>
      <c r="BZ12" s="60"/>
      <c r="CA12" s="63"/>
      <c r="CB12" s="51"/>
      <c r="CC12" s="697"/>
      <c r="CD12" s="691"/>
      <c r="CE12" s="135"/>
      <c r="CF12" s="690"/>
      <c r="CG12" s="281"/>
      <c r="CH12" s="64" t="e">
        <f t="shared" si="2"/>
        <v>#DIV/0!</v>
      </c>
      <c r="CI12" s="626"/>
      <c r="CJ12" s="308"/>
      <c r="CK12" s="64"/>
      <c r="CL12" s="773">
        <f>C12+F12+I12+L12+P12+AN12+AQ12+AU12+AZ12+BC12+BF12+BI12+BM12+BP12+BS12+BV12+BZ12+Y12+AB12</f>
        <v>260.2</v>
      </c>
      <c r="CM12" s="221">
        <f>D12+G12+J12+M12+Q12+AR12+AV12+BA12+BD12+BG12+BJ12+BN12+BQ12+BT12+BW12+CA12+Z12+AC12+AO12</f>
        <v>0</v>
      </c>
      <c r="CN12" s="64">
        <f t="shared" si="3"/>
        <v>0</v>
      </c>
      <c r="CO12" s="275"/>
    </row>
    <row r="13" spans="1:93" ht="21" thickBot="1">
      <c r="A13" s="411" t="s">
        <v>15</v>
      </c>
      <c r="B13" s="671" t="s">
        <v>18</v>
      </c>
      <c r="C13" s="335">
        <v>63</v>
      </c>
      <c r="D13" s="178">
        <v>17.418</v>
      </c>
      <c r="E13" s="333">
        <f t="shared" si="4"/>
        <v>27.64761904761905</v>
      </c>
      <c r="F13" s="335">
        <v>0</v>
      </c>
      <c r="G13" s="384"/>
      <c r="H13" s="333"/>
      <c r="I13" s="155"/>
      <c r="J13" s="254"/>
      <c r="K13" s="331"/>
      <c r="L13" s="155"/>
      <c r="M13" s="254"/>
      <c r="N13" s="332"/>
      <c r="O13" s="131" t="s">
        <v>18</v>
      </c>
      <c r="P13" s="62"/>
      <c r="Q13" s="63"/>
      <c r="R13" s="52"/>
      <c r="S13" s="60"/>
      <c r="T13" s="63"/>
      <c r="U13" s="64"/>
      <c r="V13" s="62"/>
      <c r="W13" s="63"/>
      <c r="X13" s="52"/>
      <c r="Y13" s="60"/>
      <c r="Z13" s="63"/>
      <c r="AA13" s="65"/>
      <c r="AB13" s="358"/>
      <c r="AC13" s="359"/>
      <c r="AD13" s="351"/>
      <c r="AE13" s="358"/>
      <c r="AF13" s="359"/>
      <c r="AG13" s="351"/>
      <c r="AH13" s="358"/>
      <c r="AI13" s="359"/>
      <c r="AJ13" s="761"/>
      <c r="AK13" s="358"/>
      <c r="AL13" s="359"/>
      <c r="AM13" s="360"/>
      <c r="AN13" s="764"/>
      <c r="AO13" s="353"/>
      <c r="AP13" s="351"/>
      <c r="AQ13" s="358">
        <v>185.3194</v>
      </c>
      <c r="AR13" s="384">
        <v>1.88073</v>
      </c>
      <c r="AS13" s="361"/>
      <c r="AT13" s="356">
        <f t="shared" si="0"/>
        <v>1.0148586710295846</v>
      </c>
      <c r="AU13" s="358"/>
      <c r="AV13" s="359"/>
      <c r="AW13" s="351"/>
      <c r="AX13" s="362"/>
      <c r="AY13" s="48" t="s">
        <v>18</v>
      </c>
      <c r="AZ13" s="60"/>
      <c r="BA13" s="68"/>
      <c r="BB13" s="52"/>
      <c r="BC13" s="60"/>
      <c r="BD13" s="63"/>
      <c r="BE13" s="52"/>
      <c r="BF13" s="60"/>
      <c r="BG13" s="63"/>
      <c r="BH13" s="52"/>
      <c r="BI13" s="60">
        <v>130</v>
      </c>
      <c r="BJ13" s="63"/>
      <c r="BK13" s="52"/>
      <c r="BL13" s="48" t="s">
        <v>18</v>
      </c>
      <c r="BM13" s="60"/>
      <c r="BN13" s="63"/>
      <c r="BO13" s="52"/>
      <c r="BP13" s="66">
        <v>6.65315</v>
      </c>
      <c r="BQ13" s="63"/>
      <c r="BR13" s="64">
        <f t="shared" si="1"/>
        <v>0</v>
      </c>
      <c r="BS13" s="60">
        <v>18.89074</v>
      </c>
      <c r="BT13" s="431"/>
      <c r="BU13" s="75"/>
      <c r="BV13" s="60"/>
      <c r="BW13" s="63"/>
      <c r="BX13" s="52"/>
      <c r="BY13" s="48" t="s">
        <v>18</v>
      </c>
      <c r="BZ13" s="60"/>
      <c r="CA13" s="63"/>
      <c r="CB13" s="51"/>
      <c r="CC13" s="697"/>
      <c r="CD13" s="691"/>
      <c r="CE13" s="135"/>
      <c r="CF13" s="690"/>
      <c r="CG13" s="281"/>
      <c r="CH13" s="64" t="e">
        <f t="shared" si="2"/>
        <v>#DIV/0!</v>
      </c>
      <c r="CI13" s="626"/>
      <c r="CJ13" s="308"/>
      <c r="CK13" s="64"/>
      <c r="CL13" s="773">
        <f>C13+F13+I13+L13+P13+AN13+AQ13+AU13+AZ13+BC13+BF13+BI13+BM13+BP13+BS13+BV13+BZ13+Y13+AB13</f>
        <v>403.86328999999995</v>
      </c>
      <c r="CM13" s="221">
        <f>D13+G13+J13+M13+Q13+AR13+AV13+BA13+BD13+BG13+BJ13+BN13+BQ13+BT13+BW13+CA13+Z13+AC13+AO13</f>
        <v>19.29873</v>
      </c>
      <c r="CN13" s="64">
        <f t="shared" si="3"/>
        <v>4.778530378435733</v>
      </c>
      <c r="CO13" s="275"/>
    </row>
    <row r="14" spans="1:93" ht="21" thickBot="1">
      <c r="A14" s="411" t="s">
        <v>16</v>
      </c>
      <c r="B14" s="671" t="s">
        <v>19</v>
      </c>
      <c r="C14" s="335"/>
      <c r="D14" s="178"/>
      <c r="E14" s="333" t="e">
        <f t="shared" si="4"/>
        <v>#DIV/0!</v>
      </c>
      <c r="F14" s="335"/>
      <c r="G14" s="384"/>
      <c r="H14" s="333"/>
      <c r="I14" s="155"/>
      <c r="J14" s="254"/>
      <c r="K14" s="331"/>
      <c r="L14" s="155"/>
      <c r="M14" s="254"/>
      <c r="N14" s="332"/>
      <c r="O14" s="131" t="s">
        <v>19</v>
      </c>
      <c r="P14" s="62"/>
      <c r="Q14" s="63"/>
      <c r="R14" s="52"/>
      <c r="S14" s="60"/>
      <c r="T14" s="63"/>
      <c r="U14" s="64"/>
      <c r="V14" s="62"/>
      <c r="W14" s="63"/>
      <c r="X14" s="52"/>
      <c r="Y14" s="60"/>
      <c r="Z14" s="63"/>
      <c r="AA14" s="65"/>
      <c r="AB14" s="358">
        <v>335.55628</v>
      </c>
      <c r="AC14" s="359">
        <v>308.464</v>
      </c>
      <c r="AD14" s="351"/>
      <c r="AE14" s="358"/>
      <c r="AF14" s="359"/>
      <c r="AG14" s="351"/>
      <c r="AH14" s="358"/>
      <c r="AI14" s="359"/>
      <c r="AJ14" s="761"/>
      <c r="AK14" s="358"/>
      <c r="AL14" s="359"/>
      <c r="AM14" s="360"/>
      <c r="AN14" s="764"/>
      <c r="AO14" s="353"/>
      <c r="AP14" s="351"/>
      <c r="AQ14" s="358"/>
      <c r="AR14" s="384"/>
      <c r="AS14" s="361"/>
      <c r="AT14" s="356" t="e">
        <f t="shared" si="0"/>
        <v>#DIV/0!</v>
      </c>
      <c r="AU14" s="358"/>
      <c r="AV14" s="359"/>
      <c r="AW14" s="351"/>
      <c r="AX14" s="362"/>
      <c r="AY14" s="48" t="s">
        <v>19</v>
      </c>
      <c r="AZ14" s="60"/>
      <c r="BA14" s="63"/>
      <c r="BB14" s="52"/>
      <c r="BC14" s="60"/>
      <c r="BD14" s="63"/>
      <c r="BE14" s="52"/>
      <c r="BF14" s="60"/>
      <c r="BG14" s="63"/>
      <c r="BH14" s="52"/>
      <c r="BI14" s="60">
        <v>130</v>
      </c>
      <c r="BJ14" s="320"/>
      <c r="BK14" s="52"/>
      <c r="BL14" s="48" t="s">
        <v>19</v>
      </c>
      <c r="BM14" s="60"/>
      <c r="BN14" s="63"/>
      <c r="BO14" s="52"/>
      <c r="BP14" s="298">
        <v>1.71274</v>
      </c>
      <c r="BQ14" s="254"/>
      <c r="BR14" s="64">
        <f t="shared" si="1"/>
        <v>0</v>
      </c>
      <c r="BS14" s="60">
        <v>1.86458</v>
      </c>
      <c r="BT14" s="431"/>
      <c r="BU14" s="64"/>
      <c r="BV14" s="60"/>
      <c r="BW14" s="63"/>
      <c r="BX14" s="52"/>
      <c r="BY14" s="48" t="s">
        <v>19</v>
      </c>
      <c r="BZ14" s="155"/>
      <c r="CA14" s="63"/>
      <c r="CB14" s="51"/>
      <c r="CC14" s="697"/>
      <c r="CD14" s="691"/>
      <c r="CE14" s="135"/>
      <c r="CF14" s="690"/>
      <c r="CG14" s="281"/>
      <c r="CH14" s="64" t="e">
        <f t="shared" si="2"/>
        <v>#DIV/0!</v>
      </c>
      <c r="CI14" s="626"/>
      <c r="CJ14" s="308"/>
      <c r="CK14" s="64"/>
      <c r="CL14" s="773">
        <f>C14+F14+I14+L14+P14+AN14+AQ14+AU14+AZ14+BC14+BF14+BI14+BM14+BP14+BS14+BV14+BZ14+Y14+AB14+CC14</f>
        <v>469.1336</v>
      </c>
      <c r="CM14" s="221">
        <f>D14+G14+J14+M14+Q14+AR14+AV14+BA14+BD14+BG14+BJ14+BN14+BQ14+BT14+BW14+CA14+Z14+AC14+AO14+CD14</f>
        <v>308.464</v>
      </c>
      <c r="CN14" s="64">
        <f t="shared" si="3"/>
        <v>65.75184552971692</v>
      </c>
      <c r="CO14" s="275"/>
    </row>
    <row r="15" spans="1:93" ht="21" thickBot="1">
      <c r="A15" s="411" t="s">
        <v>17</v>
      </c>
      <c r="B15" s="671" t="s">
        <v>20</v>
      </c>
      <c r="C15" s="335"/>
      <c r="D15" s="178"/>
      <c r="E15" s="333" t="e">
        <f t="shared" si="4"/>
        <v>#DIV/0!</v>
      </c>
      <c r="F15" s="335"/>
      <c r="G15" s="384"/>
      <c r="H15" s="333"/>
      <c r="I15" s="155"/>
      <c r="J15" s="254"/>
      <c r="K15" s="331"/>
      <c r="L15" s="155"/>
      <c r="M15" s="254"/>
      <c r="N15" s="332"/>
      <c r="O15" s="131" t="s">
        <v>20</v>
      </c>
      <c r="P15" s="62"/>
      <c r="Q15" s="63"/>
      <c r="R15" s="52"/>
      <c r="S15" s="60"/>
      <c r="T15" s="63"/>
      <c r="U15" s="64"/>
      <c r="V15" s="62"/>
      <c r="W15" s="63"/>
      <c r="X15" s="52"/>
      <c r="Y15" s="60"/>
      <c r="Z15" s="63"/>
      <c r="AA15" s="65"/>
      <c r="AB15" s="358"/>
      <c r="AC15" s="359"/>
      <c r="AD15" s="351"/>
      <c r="AE15" s="358"/>
      <c r="AF15" s="359"/>
      <c r="AG15" s="351"/>
      <c r="AH15" s="358"/>
      <c r="AI15" s="359"/>
      <c r="AJ15" s="761"/>
      <c r="AK15" s="358"/>
      <c r="AL15" s="359"/>
      <c r="AM15" s="360"/>
      <c r="AN15" s="764"/>
      <c r="AO15" s="353"/>
      <c r="AP15" s="351"/>
      <c r="AQ15" s="358"/>
      <c r="AR15" s="384"/>
      <c r="AS15" s="363"/>
      <c r="AT15" s="356" t="e">
        <f t="shared" si="0"/>
        <v>#DIV/0!</v>
      </c>
      <c r="AU15" s="358"/>
      <c r="AV15" s="359"/>
      <c r="AW15" s="351"/>
      <c r="AX15" s="362"/>
      <c r="AY15" s="48" t="s">
        <v>20</v>
      </c>
      <c r="AZ15" s="60"/>
      <c r="BA15" s="63"/>
      <c r="BB15" s="52"/>
      <c r="BC15" s="60"/>
      <c r="BD15" s="63"/>
      <c r="BE15" s="52"/>
      <c r="BF15" s="60"/>
      <c r="BG15" s="63"/>
      <c r="BH15" s="52"/>
      <c r="BI15" s="60">
        <v>64.8</v>
      </c>
      <c r="BJ15" s="320"/>
      <c r="BK15" s="52"/>
      <c r="BL15" s="48" t="s">
        <v>20</v>
      </c>
      <c r="BM15" s="60"/>
      <c r="BN15" s="63"/>
      <c r="BO15" s="52"/>
      <c r="BP15" s="66"/>
      <c r="BQ15" s="63"/>
      <c r="BR15" s="64" t="e">
        <f t="shared" si="1"/>
        <v>#DIV/0!</v>
      </c>
      <c r="BS15" s="60">
        <v>5.39625</v>
      </c>
      <c r="BT15" s="431"/>
      <c r="BU15" s="64"/>
      <c r="BV15" s="60"/>
      <c r="BW15" s="63"/>
      <c r="BX15" s="52"/>
      <c r="BY15" s="48" t="s">
        <v>20</v>
      </c>
      <c r="BZ15" s="60"/>
      <c r="CA15" s="63"/>
      <c r="CB15" s="51"/>
      <c r="CC15" s="697"/>
      <c r="CD15" s="691"/>
      <c r="CE15" s="135"/>
      <c r="CF15" s="690"/>
      <c r="CG15" s="281"/>
      <c r="CH15" s="64" t="e">
        <f t="shared" si="2"/>
        <v>#DIV/0!</v>
      </c>
      <c r="CI15" s="626"/>
      <c r="CJ15" s="308"/>
      <c r="CK15" s="64"/>
      <c r="CL15" s="773">
        <f>C15+F15+I15+L15+P15+AN15+AQ15+AU15+AZ15+BC15+BF15+BI15+BM15+BP15+BS15+BV15+BZ15+Y15+AB15+CC15</f>
        <v>70.19624999999999</v>
      </c>
      <c r="CM15" s="221">
        <f>D15+G15+J15+M15+Q15+AR15+AV15+BA15+BD15+BG15+BJ15+BN15+BQ15+BT15+BW15+CA15+Z15+AC15+AO15+CD15</f>
        <v>0</v>
      </c>
      <c r="CN15" s="64">
        <f t="shared" si="3"/>
        <v>0</v>
      </c>
      <c r="CO15" s="275"/>
    </row>
    <row r="16" spans="1:93" ht="21" thickBot="1">
      <c r="A16" s="411" t="s">
        <v>21</v>
      </c>
      <c r="B16" s="671" t="s">
        <v>30</v>
      </c>
      <c r="C16" s="335">
        <v>24.6</v>
      </c>
      <c r="D16" s="178">
        <v>16.392</v>
      </c>
      <c r="E16" s="333">
        <f t="shared" si="4"/>
        <v>66.6341463414634</v>
      </c>
      <c r="F16" s="335"/>
      <c r="G16" s="384"/>
      <c r="H16" s="333"/>
      <c r="I16" s="155">
        <v>123.5</v>
      </c>
      <c r="J16" s="254">
        <v>123.5</v>
      </c>
      <c r="K16" s="331"/>
      <c r="L16" s="155"/>
      <c r="M16" s="254"/>
      <c r="N16" s="332"/>
      <c r="O16" s="131" t="s">
        <v>30</v>
      </c>
      <c r="P16" s="62"/>
      <c r="Q16" s="63"/>
      <c r="R16" s="52"/>
      <c r="S16" s="60"/>
      <c r="T16" s="63"/>
      <c r="U16" s="64"/>
      <c r="V16" s="62"/>
      <c r="W16" s="63"/>
      <c r="X16" s="52"/>
      <c r="Y16" s="60"/>
      <c r="Z16" s="63"/>
      <c r="AA16" s="65"/>
      <c r="AB16" s="358"/>
      <c r="AC16" s="359"/>
      <c r="AD16" s="351"/>
      <c r="AE16" s="358"/>
      <c r="AF16" s="359"/>
      <c r="AG16" s="351"/>
      <c r="AH16" s="358"/>
      <c r="AI16" s="359"/>
      <c r="AJ16" s="761"/>
      <c r="AK16" s="358"/>
      <c r="AL16" s="359"/>
      <c r="AM16" s="360"/>
      <c r="AN16" s="764"/>
      <c r="AO16" s="353"/>
      <c r="AP16" s="351" t="e">
        <f>(AO16/AN16)*100</f>
        <v>#DIV/0!</v>
      </c>
      <c r="AQ16" s="358"/>
      <c r="AR16" s="383"/>
      <c r="AS16" s="361"/>
      <c r="AT16" s="356" t="e">
        <f t="shared" si="0"/>
        <v>#DIV/0!</v>
      </c>
      <c r="AU16" s="358"/>
      <c r="AV16" s="359"/>
      <c r="AW16" s="351"/>
      <c r="AX16" s="362"/>
      <c r="AY16" s="48" t="s">
        <v>30</v>
      </c>
      <c r="AZ16" s="60"/>
      <c r="BA16" s="63"/>
      <c r="BB16" s="52"/>
      <c r="BC16" s="60"/>
      <c r="BD16" s="63"/>
      <c r="BE16" s="52"/>
      <c r="BF16" s="60"/>
      <c r="BG16" s="63"/>
      <c r="BH16" s="52"/>
      <c r="BI16" s="60">
        <v>287.517</v>
      </c>
      <c r="BJ16" s="320">
        <v>65.46096</v>
      </c>
      <c r="BK16" s="52"/>
      <c r="BL16" s="48" t="s">
        <v>30</v>
      </c>
      <c r="BM16" s="60"/>
      <c r="BN16" s="63"/>
      <c r="BO16" s="52"/>
      <c r="BP16" s="298">
        <v>7.83579</v>
      </c>
      <c r="BQ16" s="254">
        <v>7.83579</v>
      </c>
      <c r="BR16" s="64">
        <f t="shared" si="1"/>
        <v>100</v>
      </c>
      <c r="BS16" s="60">
        <v>3.24342</v>
      </c>
      <c r="BT16" s="431">
        <v>1.98</v>
      </c>
      <c r="BU16" s="64"/>
      <c r="BV16" s="60"/>
      <c r="BW16" s="63"/>
      <c r="BX16" s="52"/>
      <c r="BY16" s="48" t="s">
        <v>30</v>
      </c>
      <c r="BZ16" s="60"/>
      <c r="CA16" s="63"/>
      <c r="CB16" s="51"/>
      <c r="CC16" s="697">
        <v>35</v>
      </c>
      <c r="CD16" s="691"/>
      <c r="CE16" s="135"/>
      <c r="CF16" s="690"/>
      <c r="CG16" s="281"/>
      <c r="CH16" s="64" t="e">
        <f t="shared" si="2"/>
        <v>#DIV/0!</v>
      </c>
      <c r="CI16" s="626"/>
      <c r="CJ16" s="308"/>
      <c r="CK16" s="64"/>
      <c r="CL16" s="773">
        <f>C16+F16+I16+L16+P16+AN16+AQ16+AU16+AZ16+BC16+BF16+BI16+BM16+BP16+BS16+BV16+BZ16+Y16+AB16+CC16</f>
        <v>481.69620999999995</v>
      </c>
      <c r="CM16" s="221">
        <f>D16+G16+J16+M16+Q16+AR16+AV16+BA16+BD16+BG16+BJ16+BN16+BQ16+BT16+BW16+CA16+Z16+AC16+AO16+CD16</f>
        <v>215.16875</v>
      </c>
      <c r="CN16" s="64">
        <f t="shared" si="3"/>
        <v>44.66897300271472</v>
      </c>
      <c r="CO16" s="275"/>
    </row>
    <row r="17" spans="1:93" ht="21" thickBot="1">
      <c r="A17" s="411" t="s">
        <v>22</v>
      </c>
      <c r="B17" s="671" t="s">
        <v>31</v>
      </c>
      <c r="C17" s="335">
        <v>16.563</v>
      </c>
      <c r="D17" s="178">
        <v>16.524</v>
      </c>
      <c r="E17" s="333"/>
      <c r="F17" s="335"/>
      <c r="G17" s="384"/>
      <c r="H17" s="333"/>
      <c r="I17" s="155"/>
      <c r="J17" s="254"/>
      <c r="K17" s="331"/>
      <c r="L17" s="155"/>
      <c r="M17" s="254"/>
      <c r="N17" s="332"/>
      <c r="O17" s="131" t="s">
        <v>31</v>
      </c>
      <c r="P17" s="62"/>
      <c r="Q17" s="68"/>
      <c r="R17" s="52"/>
      <c r="S17" s="60"/>
      <c r="T17" s="63"/>
      <c r="U17" s="64"/>
      <c r="V17" s="62"/>
      <c r="W17" s="63"/>
      <c r="X17" s="52"/>
      <c r="Y17" s="60"/>
      <c r="Z17" s="63"/>
      <c r="AA17" s="65"/>
      <c r="AB17" s="358"/>
      <c r="AC17" s="359"/>
      <c r="AD17" s="351"/>
      <c r="AE17" s="358"/>
      <c r="AF17" s="359"/>
      <c r="AG17" s="351"/>
      <c r="AH17" s="358"/>
      <c r="AI17" s="359"/>
      <c r="AJ17" s="761"/>
      <c r="AK17" s="358"/>
      <c r="AL17" s="359"/>
      <c r="AM17" s="360"/>
      <c r="AN17" s="764"/>
      <c r="AO17" s="353"/>
      <c r="AP17" s="351" t="e">
        <f>(AO17/AN17)*100</f>
        <v>#DIV/0!</v>
      </c>
      <c r="AQ17" s="358">
        <v>3</v>
      </c>
      <c r="AR17" s="384"/>
      <c r="AS17" s="361"/>
      <c r="AT17" s="356">
        <f t="shared" si="0"/>
        <v>0</v>
      </c>
      <c r="AU17" s="358"/>
      <c r="AV17" s="359"/>
      <c r="AW17" s="351"/>
      <c r="AX17" s="362"/>
      <c r="AY17" s="48" t="s">
        <v>31</v>
      </c>
      <c r="AZ17" s="60"/>
      <c r="BA17" s="63"/>
      <c r="BB17" s="52"/>
      <c r="BC17" s="60"/>
      <c r="BD17" s="63"/>
      <c r="BE17" s="52"/>
      <c r="BF17" s="60"/>
      <c r="BG17" s="63"/>
      <c r="BH17" s="52"/>
      <c r="BI17" s="60">
        <v>45</v>
      </c>
      <c r="BJ17" s="320"/>
      <c r="BK17" s="52"/>
      <c r="BL17" s="48" t="s">
        <v>31</v>
      </c>
      <c r="BM17" s="60"/>
      <c r="BN17" s="63"/>
      <c r="BO17" s="52"/>
      <c r="BP17" s="66"/>
      <c r="BQ17" s="63"/>
      <c r="BR17" s="64" t="e">
        <f t="shared" si="1"/>
        <v>#DIV/0!</v>
      </c>
      <c r="BS17" s="155"/>
      <c r="BT17" s="431"/>
      <c r="BU17" s="64"/>
      <c r="BV17" s="60"/>
      <c r="BW17" s="63"/>
      <c r="BX17" s="52"/>
      <c r="BY17" s="48" t="s">
        <v>31</v>
      </c>
      <c r="BZ17" s="60"/>
      <c r="CA17" s="63"/>
      <c r="CB17" s="51"/>
      <c r="CC17" s="697"/>
      <c r="CD17" s="691"/>
      <c r="CE17" s="135"/>
      <c r="CF17" s="690"/>
      <c r="CG17" s="281"/>
      <c r="CH17" s="64" t="e">
        <f t="shared" si="2"/>
        <v>#DIV/0!</v>
      </c>
      <c r="CI17" s="626"/>
      <c r="CJ17" s="308"/>
      <c r="CK17" s="64"/>
      <c r="CL17" s="773">
        <f>C17+F17+I17+L17+P17+AN17+AQ17+AU17+AZ17+BC17+BF17+BI17+BM17+BP17+BS17+BV17+BZ17+Y17+AB17</f>
        <v>64.563</v>
      </c>
      <c r="CM17" s="221">
        <f>D17+G17+J17+M17+Q17+AR17+AV17+BA17+BD17+BG17+BJ17+BN17+BQ17+BT17+BW17+CA17+Z17+AC17+AO17</f>
        <v>16.524</v>
      </c>
      <c r="CN17" s="64">
        <f t="shared" si="3"/>
        <v>25.59360624506296</v>
      </c>
      <c r="CO17" s="275"/>
    </row>
    <row r="18" spans="1:93" ht="21" thickBot="1">
      <c r="A18" s="411" t="s">
        <v>23</v>
      </c>
      <c r="B18" s="671" t="s">
        <v>32</v>
      </c>
      <c r="C18" s="335"/>
      <c r="D18" s="178"/>
      <c r="E18" s="333" t="e">
        <f t="shared" si="4"/>
        <v>#DIV/0!</v>
      </c>
      <c r="F18" s="335"/>
      <c r="G18" s="384"/>
      <c r="H18" s="333"/>
      <c r="I18" s="155"/>
      <c r="J18" s="254"/>
      <c r="K18" s="331"/>
      <c r="L18" s="155"/>
      <c r="M18" s="254"/>
      <c r="N18" s="332"/>
      <c r="O18" s="131" t="s">
        <v>32</v>
      </c>
      <c r="P18" s="62"/>
      <c r="Q18" s="63"/>
      <c r="R18" s="52"/>
      <c r="S18" s="60"/>
      <c r="T18" s="63"/>
      <c r="U18" s="64"/>
      <c r="V18" s="62"/>
      <c r="W18" s="63"/>
      <c r="X18" s="52"/>
      <c r="Y18" s="60"/>
      <c r="Z18" s="63"/>
      <c r="AA18" s="65"/>
      <c r="AB18" s="358">
        <v>17.8</v>
      </c>
      <c r="AC18" s="359">
        <v>17.8</v>
      </c>
      <c r="AD18" s="351"/>
      <c r="AE18" s="358"/>
      <c r="AF18" s="359"/>
      <c r="AG18" s="351"/>
      <c r="AH18" s="358"/>
      <c r="AI18" s="359"/>
      <c r="AJ18" s="761"/>
      <c r="AK18" s="358"/>
      <c r="AL18" s="359"/>
      <c r="AM18" s="360"/>
      <c r="AN18" s="764"/>
      <c r="AO18" s="353"/>
      <c r="AP18" s="351"/>
      <c r="AQ18" s="358">
        <v>4</v>
      </c>
      <c r="AR18" s="384">
        <v>3.27926</v>
      </c>
      <c r="AS18" s="361"/>
      <c r="AT18" s="356">
        <f t="shared" si="0"/>
        <v>81.9815</v>
      </c>
      <c r="AU18" s="358"/>
      <c r="AV18" s="359"/>
      <c r="AW18" s="351"/>
      <c r="AX18" s="362"/>
      <c r="AY18" s="48" t="s">
        <v>32</v>
      </c>
      <c r="AZ18" s="60"/>
      <c r="BA18" s="63"/>
      <c r="BB18" s="52"/>
      <c r="BC18" s="60"/>
      <c r="BD18" s="63"/>
      <c r="BE18" s="52"/>
      <c r="BF18" s="60"/>
      <c r="BG18" s="63"/>
      <c r="BH18" s="52"/>
      <c r="BI18" s="60"/>
      <c r="BJ18" s="320"/>
      <c r="BK18" s="52"/>
      <c r="BL18" s="48" t="s">
        <v>32</v>
      </c>
      <c r="BM18" s="60"/>
      <c r="BN18" s="63"/>
      <c r="BO18" s="52"/>
      <c r="BP18" s="66">
        <v>400</v>
      </c>
      <c r="BQ18" s="63">
        <v>395.52225</v>
      </c>
      <c r="BR18" s="64">
        <f t="shared" si="1"/>
        <v>98.8805625</v>
      </c>
      <c r="BS18" s="60">
        <v>0.8</v>
      </c>
      <c r="BT18" s="431"/>
      <c r="BU18" s="64">
        <f>(BT18/BS18)*100</f>
        <v>0</v>
      </c>
      <c r="BV18" s="60"/>
      <c r="BW18" s="68"/>
      <c r="BX18" s="52"/>
      <c r="BY18" s="48" t="s">
        <v>32</v>
      </c>
      <c r="BZ18" s="60">
        <v>160</v>
      </c>
      <c r="CA18" s="63"/>
      <c r="CB18" s="51"/>
      <c r="CC18" s="697"/>
      <c r="CD18" s="691"/>
      <c r="CE18" s="135"/>
      <c r="CF18" s="690"/>
      <c r="CG18" s="281"/>
      <c r="CH18" s="64" t="e">
        <f t="shared" si="2"/>
        <v>#DIV/0!</v>
      </c>
      <c r="CI18" s="626"/>
      <c r="CJ18" s="308"/>
      <c r="CK18" s="64"/>
      <c r="CL18" s="774">
        <f>C18+F18+I18+L18+P18+AN18+AQ18+AU18+AZ18+BC18+BF18+BI18+BM18+BP18+BS18+BV18+BZ18+Y18+AB18</f>
        <v>582.5999999999999</v>
      </c>
      <c r="CM18" s="221">
        <f>D18+G18+J18+M18+Q18+AR18+AV18+BA18+BD18+BG18+BJ18+BN18+BQ18+BT18+BW18+CA18+Z18+AC18+AO18</f>
        <v>416.60151</v>
      </c>
      <c r="CN18" s="64">
        <f t="shared" si="3"/>
        <v>71.50729660144182</v>
      </c>
      <c r="CO18" s="275"/>
    </row>
    <row r="19" spans="1:93" ht="21" thickBot="1">
      <c r="A19" s="411" t="s">
        <v>24</v>
      </c>
      <c r="B19" s="405" t="s">
        <v>33</v>
      </c>
      <c r="C19" s="335">
        <v>14</v>
      </c>
      <c r="D19" s="178">
        <v>7.32</v>
      </c>
      <c r="E19" s="333"/>
      <c r="F19" s="335">
        <v>10</v>
      </c>
      <c r="G19" s="384">
        <v>7.999</v>
      </c>
      <c r="H19" s="333"/>
      <c r="I19" s="155"/>
      <c r="J19" s="254"/>
      <c r="K19" s="331"/>
      <c r="L19" s="155"/>
      <c r="M19" s="254"/>
      <c r="N19" s="332"/>
      <c r="O19" s="131" t="s">
        <v>33</v>
      </c>
      <c r="P19" s="62"/>
      <c r="Q19" s="63"/>
      <c r="R19" s="52"/>
      <c r="S19" s="60"/>
      <c r="T19" s="63"/>
      <c r="U19" s="64"/>
      <c r="V19" s="62"/>
      <c r="W19" s="63"/>
      <c r="X19" s="52"/>
      <c r="Y19" s="60"/>
      <c r="Z19" s="63"/>
      <c r="AA19" s="65"/>
      <c r="AB19" s="358"/>
      <c r="AC19" s="359"/>
      <c r="AD19" s="351"/>
      <c r="AE19" s="358"/>
      <c r="AF19" s="359"/>
      <c r="AG19" s="351"/>
      <c r="AH19" s="358"/>
      <c r="AI19" s="359"/>
      <c r="AJ19" s="761"/>
      <c r="AK19" s="358"/>
      <c r="AL19" s="359"/>
      <c r="AM19" s="360"/>
      <c r="AN19" s="764"/>
      <c r="AO19" s="353"/>
      <c r="AP19" s="351"/>
      <c r="AQ19" s="358">
        <v>18.56235</v>
      </c>
      <c r="AR19" s="384"/>
      <c r="AS19" s="361"/>
      <c r="AT19" s="356">
        <f t="shared" si="0"/>
        <v>0</v>
      </c>
      <c r="AU19" s="358"/>
      <c r="AV19" s="359"/>
      <c r="AW19" s="351"/>
      <c r="AX19" s="362"/>
      <c r="AY19" s="48" t="s">
        <v>33</v>
      </c>
      <c r="AZ19" s="60"/>
      <c r="BA19" s="63"/>
      <c r="BB19" s="52"/>
      <c r="BC19" s="60"/>
      <c r="BD19" s="63"/>
      <c r="BE19" s="52"/>
      <c r="BF19" s="60"/>
      <c r="BG19" s="63"/>
      <c r="BH19" s="52"/>
      <c r="BI19" s="60">
        <v>15</v>
      </c>
      <c r="BJ19" s="320"/>
      <c r="BK19" s="52"/>
      <c r="BL19" s="48" t="s">
        <v>33</v>
      </c>
      <c r="BM19" s="60"/>
      <c r="BN19" s="63"/>
      <c r="BO19" s="52"/>
      <c r="BP19" s="66"/>
      <c r="BQ19" s="63"/>
      <c r="BR19" s="64" t="e">
        <f t="shared" si="1"/>
        <v>#DIV/0!</v>
      </c>
      <c r="BS19" s="270">
        <v>1.87371</v>
      </c>
      <c r="BT19" s="431"/>
      <c r="BU19" s="64"/>
      <c r="BV19" s="60"/>
      <c r="BW19" s="63"/>
      <c r="BX19" s="52"/>
      <c r="BY19" s="48" t="s">
        <v>33</v>
      </c>
      <c r="BZ19" s="60"/>
      <c r="CB19" s="61"/>
      <c r="CC19" s="66"/>
      <c r="CD19" s="692"/>
      <c r="CE19" s="135"/>
      <c r="CF19" s="690"/>
      <c r="CG19" s="281"/>
      <c r="CH19" s="64" t="e">
        <f t="shared" si="2"/>
        <v>#DIV/0!</v>
      </c>
      <c r="CI19" s="626"/>
      <c r="CJ19" s="308"/>
      <c r="CK19" s="64"/>
      <c r="CL19" s="773">
        <f>C19+F19+I19+L19+P19+AN19+AQ19+AU19+AZ19+BC19+BF19+BI19+BM19+BP19+BS19+BV19+BZ19+Y19+AB19</f>
        <v>59.43606</v>
      </c>
      <c r="CM19" s="221">
        <f>D19+G19+J19+M19+Q19+AR19+AV19+BA19+BD19+BG19+BJ19+BN19+BQ19+BT19+BW19+CA19+Z19+AC19+AO19</f>
        <v>15.318999999999999</v>
      </c>
      <c r="CN19" s="64">
        <f t="shared" si="3"/>
        <v>25.773915700334104</v>
      </c>
      <c r="CO19" s="275"/>
    </row>
    <row r="20" spans="1:93" ht="21" thickBot="1">
      <c r="A20" s="411" t="s">
        <v>25</v>
      </c>
      <c r="B20" s="405" t="s">
        <v>34</v>
      </c>
      <c r="C20" s="335">
        <v>117</v>
      </c>
      <c r="D20" s="178">
        <v>116.309</v>
      </c>
      <c r="E20" s="333"/>
      <c r="F20" s="335"/>
      <c r="G20" s="384"/>
      <c r="H20" s="333"/>
      <c r="I20" s="155">
        <v>50</v>
      </c>
      <c r="J20" s="254"/>
      <c r="K20" s="331"/>
      <c r="L20" s="155"/>
      <c r="M20" s="254"/>
      <c r="N20" s="332"/>
      <c r="O20" s="131" t="s">
        <v>34</v>
      </c>
      <c r="P20" s="62"/>
      <c r="Q20" s="63"/>
      <c r="R20" s="52"/>
      <c r="S20" s="60"/>
      <c r="T20" s="63"/>
      <c r="U20" s="64"/>
      <c r="V20" s="62"/>
      <c r="W20" s="63"/>
      <c r="X20" s="52"/>
      <c r="Y20" s="60"/>
      <c r="Z20" s="63"/>
      <c r="AA20" s="65"/>
      <c r="AB20" s="358">
        <v>334.742</v>
      </c>
      <c r="AC20" s="359">
        <v>60</v>
      </c>
      <c r="AD20" s="351"/>
      <c r="AE20" s="358"/>
      <c r="AF20" s="359"/>
      <c r="AG20" s="351"/>
      <c r="AH20" s="358"/>
      <c r="AI20" s="359"/>
      <c r="AJ20" s="761"/>
      <c r="AK20" s="358"/>
      <c r="AL20" s="359"/>
      <c r="AM20" s="360"/>
      <c r="AN20" s="764"/>
      <c r="AO20" s="353"/>
      <c r="AP20" s="351"/>
      <c r="AQ20" s="358">
        <v>30</v>
      </c>
      <c r="AR20" s="384"/>
      <c r="AS20" s="361"/>
      <c r="AT20" s="356">
        <f t="shared" si="0"/>
        <v>0</v>
      </c>
      <c r="AU20" s="358"/>
      <c r="AV20" s="359"/>
      <c r="AW20" s="351"/>
      <c r="AX20" s="362"/>
      <c r="AY20" s="48" t="s">
        <v>34</v>
      </c>
      <c r="AZ20" s="67"/>
      <c r="BA20" s="63"/>
      <c r="BB20" s="52"/>
      <c r="BC20" s="60"/>
      <c r="BD20" s="63"/>
      <c r="BE20" s="52"/>
      <c r="BF20" s="60"/>
      <c r="BG20" s="63"/>
      <c r="BH20" s="52"/>
      <c r="BI20" s="60">
        <v>355</v>
      </c>
      <c r="BJ20" s="320">
        <v>115.32</v>
      </c>
      <c r="BK20" s="52"/>
      <c r="BL20" s="48" t="s">
        <v>34</v>
      </c>
      <c r="BM20" s="60"/>
      <c r="BN20" s="63"/>
      <c r="BO20" s="52"/>
      <c r="BP20" s="66"/>
      <c r="BQ20" s="63"/>
      <c r="BR20" s="64" t="e">
        <f t="shared" si="1"/>
        <v>#DIV/0!</v>
      </c>
      <c r="BS20" s="60">
        <v>0.7</v>
      </c>
      <c r="BT20" s="431"/>
      <c r="BU20" s="64"/>
      <c r="BV20" s="60"/>
      <c r="BW20" s="63"/>
      <c r="BX20" s="52"/>
      <c r="BY20" s="48" t="s">
        <v>34</v>
      </c>
      <c r="BZ20" s="60"/>
      <c r="CA20" s="63"/>
      <c r="CB20" s="51"/>
      <c r="CC20" s="697"/>
      <c r="CD20" s="691"/>
      <c r="CE20" s="135"/>
      <c r="CF20" s="690"/>
      <c r="CG20" s="281"/>
      <c r="CH20" s="64" t="e">
        <f t="shared" si="2"/>
        <v>#DIV/0!</v>
      </c>
      <c r="CI20" s="626"/>
      <c r="CJ20" s="308"/>
      <c r="CK20" s="64"/>
      <c r="CL20" s="773">
        <f>C20+F20+I20+L20+P20+AN20+AQ20+AU20+AZ20+BC20+BF20+BI20+BM20+BP20+BS20+BV20+BZ20+Y20+AB20+CC20</f>
        <v>887.442</v>
      </c>
      <c r="CM20" s="221">
        <f>D20+G20+J20+M20+Q20+AR20+AV20+BA20+BD20+BG20+BJ20+BN20+BQ20+BT20+BW20+CA20+Z20+AC20+AO20+CD20</f>
        <v>291.629</v>
      </c>
      <c r="CN20" s="64">
        <f t="shared" si="3"/>
        <v>32.86175321880191</v>
      </c>
      <c r="CO20" s="275"/>
    </row>
    <row r="21" spans="1:93" ht="21" thickBot="1">
      <c r="A21" s="411" t="s">
        <v>26</v>
      </c>
      <c r="B21" s="405" t="s">
        <v>35</v>
      </c>
      <c r="C21" s="335"/>
      <c r="D21" s="178"/>
      <c r="E21" s="333" t="e">
        <f t="shared" si="4"/>
        <v>#DIV/0!</v>
      </c>
      <c r="F21" s="335"/>
      <c r="G21" s="384"/>
      <c r="H21" s="333"/>
      <c r="I21" s="155"/>
      <c r="J21" s="254"/>
      <c r="K21" s="331"/>
      <c r="L21" s="155"/>
      <c r="M21" s="254"/>
      <c r="N21" s="332"/>
      <c r="O21" s="131" t="s">
        <v>35</v>
      </c>
      <c r="P21" s="62"/>
      <c r="Q21" s="68"/>
      <c r="R21" s="52"/>
      <c r="S21" s="60"/>
      <c r="T21" s="63"/>
      <c r="U21" s="64"/>
      <c r="V21" s="62"/>
      <c r="W21" s="63"/>
      <c r="X21" s="52"/>
      <c r="Y21" s="60"/>
      <c r="Z21" s="63"/>
      <c r="AA21" s="65"/>
      <c r="AB21" s="358"/>
      <c r="AC21" s="359"/>
      <c r="AD21" s="351"/>
      <c r="AE21" s="358"/>
      <c r="AF21" s="359"/>
      <c r="AG21" s="351"/>
      <c r="AH21" s="358"/>
      <c r="AI21" s="359"/>
      <c r="AJ21" s="761"/>
      <c r="AK21" s="358"/>
      <c r="AL21" s="359"/>
      <c r="AM21" s="360"/>
      <c r="AN21" s="764"/>
      <c r="AO21" s="353"/>
      <c r="AP21" s="351"/>
      <c r="AQ21" s="358">
        <v>228.16232</v>
      </c>
      <c r="AR21" s="384">
        <v>228.137</v>
      </c>
      <c r="AS21" s="361"/>
      <c r="AT21" s="356">
        <f t="shared" si="0"/>
        <v>99.98890263738552</v>
      </c>
      <c r="AU21" s="358"/>
      <c r="AV21" s="359"/>
      <c r="AW21" s="351"/>
      <c r="AX21" s="362"/>
      <c r="AY21" s="48" t="s">
        <v>35</v>
      </c>
      <c r="AZ21" s="60"/>
      <c r="BA21" s="68"/>
      <c r="BB21" s="52"/>
      <c r="BC21" s="60"/>
      <c r="BD21" s="63"/>
      <c r="BE21" s="52"/>
      <c r="BF21" s="60"/>
      <c r="BG21" s="63"/>
      <c r="BH21" s="52"/>
      <c r="BI21" s="60">
        <v>45</v>
      </c>
      <c r="BJ21" s="320"/>
      <c r="BK21" s="52"/>
      <c r="BL21" s="48" t="s">
        <v>35</v>
      </c>
      <c r="BM21" s="60"/>
      <c r="BN21" s="63"/>
      <c r="BO21" s="52"/>
      <c r="BP21" s="298"/>
      <c r="BQ21" s="254"/>
      <c r="BR21" s="64" t="e">
        <f t="shared" si="1"/>
        <v>#DIV/0!</v>
      </c>
      <c r="BS21" s="60">
        <v>9.88051</v>
      </c>
      <c r="BT21" s="431">
        <v>9.55</v>
      </c>
      <c r="BU21" s="64">
        <f>(BT21/BS22)*100</f>
        <v>382</v>
      </c>
      <c r="BV21" s="60"/>
      <c r="BW21" s="63"/>
      <c r="BX21" s="52"/>
      <c r="BY21" s="48" t="s">
        <v>35</v>
      </c>
      <c r="BZ21" s="60">
        <v>400</v>
      </c>
      <c r="CA21" s="63">
        <v>400</v>
      </c>
      <c r="CB21" s="70">
        <f>(CA21/BZ21)*100</f>
        <v>100</v>
      </c>
      <c r="CC21" s="69"/>
      <c r="CD21" s="693"/>
      <c r="CE21" s="135"/>
      <c r="CF21" s="690"/>
      <c r="CG21" s="281"/>
      <c r="CH21" s="64" t="e">
        <f t="shared" si="2"/>
        <v>#DIV/0!</v>
      </c>
      <c r="CI21" s="626"/>
      <c r="CJ21" s="308"/>
      <c r="CK21" s="64"/>
      <c r="CL21" s="774">
        <f>C21+F21+I21+L21+P21+AN21+AQ21+AU21+AZ21+BC21+BF21+BI21+BM21+BP21+BS21+BV21+BZ21+Y21+AB21</f>
        <v>683.0428300000001</v>
      </c>
      <c r="CM21" s="221">
        <f>D21+G21+J21+M21+Q21+AR21+AV21+BA21+BD21+BG21+BJ21+BN21+BQ21+BT21+BW21+CA21+Z21+AC21+AO21</f>
        <v>637.687</v>
      </c>
      <c r="CN21" s="64">
        <f t="shared" si="3"/>
        <v>93.3597385101019</v>
      </c>
      <c r="CO21" s="275"/>
    </row>
    <row r="22" spans="1:93" ht="21" thickBot="1">
      <c r="A22" s="411" t="s">
        <v>27</v>
      </c>
      <c r="B22" s="405" t="s">
        <v>36</v>
      </c>
      <c r="C22" s="335"/>
      <c r="D22" s="178"/>
      <c r="E22" s="333" t="e">
        <f t="shared" si="4"/>
        <v>#DIV/0!</v>
      </c>
      <c r="F22" s="335">
        <v>276.525</v>
      </c>
      <c r="G22" s="384">
        <v>66.11616</v>
      </c>
      <c r="H22" s="333"/>
      <c r="I22" s="155"/>
      <c r="J22" s="254"/>
      <c r="K22" s="331"/>
      <c r="L22" s="155"/>
      <c r="M22" s="254"/>
      <c r="N22" s="332"/>
      <c r="O22" s="131" t="s">
        <v>36</v>
      </c>
      <c r="P22" s="62"/>
      <c r="Q22" s="63"/>
      <c r="R22" s="52"/>
      <c r="S22" s="60"/>
      <c r="T22" s="63"/>
      <c r="U22" s="64"/>
      <c r="V22" s="62"/>
      <c r="W22" s="63"/>
      <c r="X22" s="52"/>
      <c r="Y22" s="60"/>
      <c r="Z22" s="63"/>
      <c r="AA22" s="65"/>
      <c r="AB22" s="358">
        <v>667.775</v>
      </c>
      <c r="AC22" s="627">
        <v>338.51691</v>
      </c>
      <c r="AD22" s="351"/>
      <c r="AE22" s="358"/>
      <c r="AF22" s="359"/>
      <c r="AG22" s="351"/>
      <c r="AH22" s="358"/>
      <c r="AI22" s="359"/>
      <c r="AJ22" s="761"/>
      <c r="AK22" s="358"/>
      <c r="AL22" s="359"/>
      <c r="AM22" s="360"/>
      <c r="AN22" s="764"/>
      <c r="AO22" s="353"/>
      <c r="AP22" s="351"/>
      <c r="AQ22" s="358">
        <v>345</v>
      </c>
      <c r="AR22" s="384">
        <v>2.3312</v>
      </c>
      <c r="AS22" s="361"/>
      <c r="AT22" s="356">
        <f t="shared" si="0"/>
        <v>0.6757101449275362</v>
      </c>
      <c r="AU22" s="358"/>
      <c r="AV22" s="359"/>
      <c r="AW22" s="351"/>
      <c r="AX22" s="362"/>
      <c r="AY22" s="48" t="s">
        <v>36</v>
      </c>
      <c r="AZ22" s="60"/>
      <c r="BA22" s="63"/>
      <c r="BB22" s="52"/>
      <c r="BC22" s="60"/>
      <c r="BD22" s="63"/>
      <c r="BE22" s="52"/>
      <c r="BF22" s="60"/>
      <c r="BG22" s="63"/>
      <c r="BH22" s="52"/>
      <c r="BI22" s="60">
        <v>92.416</v>
      </c>
      <c r="BJ22" s="320">
        <v>92.4048</v>
      </c>
      <c r="BK22" s="52"/>
      <c r="BL22" s="48" t="s">
        <v>36</v>
      </c>
      <c r="BM22" s="60"/>
      <c r="BN22" s="63"/>
      <c r="BO22" s="52"/>
      <c r="BP22" s="66">
        <v>400</v>
      </c>
      <c r="BQ22" s="63">
        <v>397.28372</v>
      </c>
      <c r="BR22" s="64">
        <f t="shared" si="1"/>
        <v>99.32093</v>
      </c>
      <c r="BS22" s="60">
        <v>2.5</v>
      </c>
      <c r="BT22" s="431">
        <v>0.16884</v>
      </c>
      <c r="BU22" s="64"/>
      <c r="BV22" s="60"/>
      <c r="BW22" s="63"/>
      <c r="BX22" s="52"/>
      <c r="BY22" s="48" t="s">
        <v>36</v>
      </c>
      <c r="BZ22" s="60">
        <v>710.5</v>
      </c>
      <c r="CA22" s="63"/>
      <c r="CB22" s="70">
        <f>(CA22/BZ22)*100</f>
        <v>0</v>
      </c>
      <c r="CC22" s="69"/>
      <c r="CD22" s="693"/>
      <c r="CE22" s="135"/>
      <c r="CF22" s="690"/>
      <c r="CG22" s="281"/>
      <c r="CH22" s="64" t="e">
        <f t="shared" si="2"/>
        <v>#DIV/0!</v>
      </c>
      <c r="CI22" s="626"/>
      <c r="CJ22" s="308"/>
      <c r="CK22" s="64"/>
      <c r="CL22" s="774">
        <f>C22+F22+I22+L22+P22+AQ22+AU22+AZ22+BC22+BF22+BI22+BM22+BP22+BS22+BV22+BZ22+Y22+AB22+AN22</f>
        <v>2494.716</v>
      </c>
      <c r="CM22" s="221">
        <f>D22+G22+J22+M22+Q22+AR22+AV22+BA22+BD22+BG22+BJ22+BN22+BQ22+BT22+BW22+CA22+Z22+AC22+AO22</f>
        <v>896.8216300000001</v>
      </c>
      <c r="CN22" s="64">
        <f t="shared" si="3"/>
        <v>35.94884668234782</v>
      </c>
      <c r="CO22" s="275"/>
    </row>
    <row r="23" spans="1:93" ht="21" thickBot="1">
      <c r="A23" s="411" t="s">
        <v>28</v>
      </c>
      <c r="B23" s="405" t="s">
        <v>37</v>
      </c>
      <c r="C23" s="335">
        <v>30</v>
      </c>
      <c r="D23" s="178">
        <v>24.567</v>
      </c>
      <c r="E23" s="333">
        <f t="shared" si="4"/>
        <v>81.89</v>
      </c>
      <c r="F23" s="335">
        <v>4.47207</v>
      </c>
      <c r="G23" s="384"/>
      <c r="H23" s="333"/>
      <c r="I23" s="155"/>
      <c r="J23" s="254"/>
      <c r="K23" s="331"/>
      <c r="L23" s="155"/>
      <c r="M23" s="254"/>
      <c r="N23" s="332"/>
      <c r="O23" s="131" t="s">
        <v>37</v>
      </c>
      <c r="P23" s="62"/>
      <c r="Q23" s="68"/>
      <c r="R23" s="52"/>
      <c r="S23" s="60"/>
      <c r="T23" s="54"/>
      <c r="U23" s="64"/>
      <c r="V23" s="62"/>
      <c r="W23" s="63"/>
      <c r="X23" s="52"/>
      <c r="Y23" s="60"/>
      <c r="Z23" s="63"/>
      <c r="AA23" s="65"/>
      <c r="AB23" s="358"/>
      <c r="AC23" s="359"/>
      <c r="AD23" s="351"/>
      <c r="AE23" s="358"/>
      <c r="AF23" s="359"/>
      <c r="AG23" s="351"/>
      <c r="AH23" s="358"/>
      <c r="AI23" s="359"/>
      <c r="AJ23" s="761"/>
      <c r="AK23" s="358"/>
      <c r="AL23" s="359"/>
      <c r="AM23" s="360"/>
      <c r="AN23" s="764"/>
      <c r="AO23" s="353"/>
      <c r="AP23" s="351"/>
      <c r="AQ23" s="358">
        <v>3</v>
      </c>
      <c r="AR23" s="384"/>
      <c r="AS23" s="364"/>
      <c r="AT23" s="356">
        <f t="shared" si="0"/>
        <v>0</v>
      </c>
      <c r="AU23" s="358"/>
      <c r="AV23" s="359"/>
      <c r="AW23" s="351"/>
      <c r="AX23" s="362"/>
      <c r="AY23" s="48" t="s">
        <v>37</v>
      </c>
      <c r="AZ23" s="60"/>
      <c r="BA23" s="63"/>
      <c r="BB23" s="52"/>
      <c r="BC23" s="60"/>
      <c r="BD23" s="63"/>
      <c r="BE23" s="52"/>
      <c r="BF23" s="60"/>
      <c r="BG23" s="63"/>
      <c r="BH23" s="52"/>
      <c r="BI23" s="60">
        <v>155.3</v>
      </c>
      <c r="BJ23" s="320">
        <v>78.576</v>
      </c>
      <c r="BK23" s="52"/>
      <c r="BL23" s="48" t="s">
        <v>37</v>
      </c>
      <c r="BM23" s="60"/>
      <c r="BN23" s="63"/>
      <c r="BO23" s="52"/>
      <c r="BP23" s="298"/>
      <c r="BQ23" s="254"/>
      <c r="BR23" s="64" t="e">
        <f t="shared" si="1"/>
        <v>#DIV/0!</v>
      </c>
      <c r="BS23" s="60">
        <v>190.41208</v>
      </c>
      <c r="BT23" s="431"/>
      <c r="BU23" s="64">
        <f>(BT23/BS24)*100</f>
        <v>0</v>
      </c>
      <c r="BV23" s="60"/>
      <c r="BW23" s="63"/>
      <c r="BX23" s="52"/>
      <c r="BY23" s="48" t="s">
        <v>37</v>
      </c>
      <c r="BZ23" s="60">
        <v>750</v>
      </c>
      <c r="CA23" s="63"/>
      <c r="CB23" s="51"/>
      <c r="CC23" s="697"/>
      <c r="CD23" s="691"/>
      <c r="CE23" s="135"/>
      <c r="CF23" s="690"/>
      <c r="CG23" s="281"/>
      <c r="CH23" s="64" t="e">
        <f t="shared" si="2"/>
        <v>#DIV/0!</v>
      </c>
      <c r="CI23" s="626"/>
      <c r="CJ23" s="308"/>
      <c r="CK23" s="64"/>
      <c r="CL23" s="773">
        <f>C23+F23+I23+L23+P23+AN23+AQ23+AU23+AZ23+BC23+BF23+BI23+BM23+BP23+BS23+BV23+BZ23+Y23+AB23+CC23</f>
        <v>1133.18415</v>
      </c>
      <c r="CM23" s="221">
        <f>D23+G23+J23+M23+Q23+AR23+AV23+BA23+BD23+BG23+BJ23+BN23+BQ23+BT23+BW23+CA23+Z23+AC23+AO23+CD23</f>
        <v>103.143</v>
      </c>
      <c r="CN23" s="64">
        <f t="shared" si="3"/>
        <v>9.102051065574823</v>
      </c>
      <c r="CO23" s="275"/>
    </row>
    <row r="24" spans="1:93" ht="21" thickBot="1">
      <c r="A24" s="412" t="s">
        <v>29</v>
      </c>
      <c r="B24" s="413" t="s">
        <v>38</v>
      </c>
      <c r="C24" s="338"/>
      <c r="D24" s="336"/>
      <c r="E24" s="337"/>
      <c r="F24" s="338"/>
      <c r="G24" s="385"/>
      <c r="H24" s="340"/>
      <c r="I24" s="296"/>
      <c r="J24" s="341"/>
      <c r="K24" s="342"/>
      <c r="L24" s="296"/>
      <c r="M24" s="341"/>
      <c r="N24" s="337"/>
      <c r="O24" s="131" t="s">
        <v>38</v>
      </c>
      <c r="P24" s="76"/>
      <c r="Q24" s="77"/>
      <c r="R24" s="75"/>
      <c r="S24" s="78"/>
      <c r="T24" s="79"/>
      <c r="U24" s="81"/>
      <c r="V24" s="76"/>
      <c r="W24" s="77"/>
      <c r="X24" s="75"/>
      <c r="Y24" s="73"/>
      <c r="Z24" s="77"/>
      <c r="AA24" s="82"/>
      <c r="AB24" s="365"/>
      <c r="AC24" s="366"/>
      <c r="AD24" s="367"/>
      <c r="AE24" s="365"/>
      <c r="AF24" s="366"/>
      <c r="AG24" s="367"/>
      <c r="AH24" s="365"/>
      <c r="AI24" s="366"/>
      <c r="AJ24" s="762"/>
      <c r="AK24" s="368"/>
      <c r="AL24" s="769"/>
      <c r="AM24" s="770"/>
      <c r="AN24" s="765"/>
      <c r="AO24" s="353"/>
      <c r="AP24" s="351"/>
      <c r="AQ24" s="368">
        <v>0.36108</v>
      </c>
      <c r="AR24" s="393"/>
      <c r="AS24" s="369"/>
      <c r="AT24" s="356">
        <f t="shared" si="0"/>
        <v>0</v>
      </c>
      <c r="AU24" s="365"/>
      <c r="AV24" s="366"/>
      <c r="AW24" s="367"/>
      <c r="AX24" s="370"/>
      <c r="AY24" s="48" t="s">
        <v>38</v>
      </c>
      <c r="AZ24" s="73"/>
      <c r="BA24" s="77"/>
      <c r="BB24" s="52"/>
      <c r="BC24" s="73"/>
      <c r="BD24" s="77"/>
      <c r="BE24" s="75"/>
      <c r="BF24" s="330"/>
      <c r="BG24" s="77"/>
      <c r="BH24" s="75"/>
      <c r="BI24" s="73">
        <v>80</v>
      </c>
      <c r="BJ24" s="321"/>
      <c r="BK24" s="75"/>
      <c r="BL24" s="48" t="s">
        <v>38</v>
      </c>
      <c r="BM24" s="73"/>
      <c r="BN24" s="77"/>
      <c r="BO24" s="75"/>
      <c r="BP24" s="304">
        <v>10.13625</v>
      </c>
      <c r="BQ24" s="79">
        <v>10.13625</v>
      </c>
      <c r="BR24" s="80">
        <f t="shared" si="1"/>
        <v>100</v>
      </c>
      <c r="BS24" s="155">
        <v>4.10651</v>
      </c>
      <c r="BT24" s="432">
        <v>3.9</v>
      </c>
      <c r="BU24" s="332"/>
      <c r="BV24" s="330"/>
      <c r="BW24" s="339"/>
      <c r="BX24" s="333"/>
      <c r="BY24" s="48" t="s">
        <v>38</v>
      </c>
      <c r="BZ24" s="73"/>
      <c r="CA24" s="77"/>
      <c r="CB24" s="86"/>
      <c r="CC24" s="203"/>
      <c r="CD24" s="694"/>
      <c r="CE24" s="698"/>
      <c r="CF24" s="690"/>
      <c r="CG24" s="281"/>
      <c r="CH24" s="181" t="e">
        <f t="shared" si="2"/>
        <v>#DIV/0!</v>
      </c>
      <c r="CI24" s="626"/>
      <c r="CJ24" s="308"/>
      <c r="CK24" s="64"/>
      <c r="CL24" s="774">
        <f>C24+F24+I24+L24+P24+AN24+AQ24+AU24+AZ24+BC24+BF24+BI24+BM24+BP24+BS24+BV24+BZ24+Y24+AB24</f>
        <v>94.60384</v>
      </c>
      <c r="CM24" s="221">
        <f>D24+G24+J24+M24+Q24+AR24+AV24+BA24+BD24+BG24+BJ24+BN24+BQ24+BT24+BW24+CA24+Z24+AC24+AO24</f>
        <v>14.03625</v>
      </c>
      <c r="CN24" s="80">
        <f t="shared" si="3"/>
        <v>14.836871315160147</v>
      </c>
      <c r="CO24" s="275"/>
    </row>
    <row r="25" spans="1:93" ht="20.25">
      <c r="A25" s="48"/>
      <c r="B25" s="48" t="s">
        <v>43</v>
      </c>
      <c r="C25" s="221">
        <f>SUM(C6:C24)</f>
        <v>300.23181</v>
      </c>
      <c r="D25" s="343">
        <f>SUM(D6:D24)</f>
        <v>208.29314</v>
      </c>
      <c r="E25" s="344"/>
      <c r="F25" s="345">
        <f>SUM(F6:F24)</f>
        <v>290.99706999999995</v>
      </c>
      <c r="G25" s="386">
        <f>SUM(G6:G24)</f>
        <v>74.11515999999999</v>
      </c>
      <c r="H25" s="346"/>
      <c r="I25" s="221">
        <f>SUM(I6:I24)</f>
        <v>189.5</v>
      </c>
      <c r="J25" s="302">
        <f>SUM(J6:J24)</f>
        <v>127.9</v>
      </c>
      <c r="K25" s="334"/>
      <c r="L25" s="183">
        <f>SUM(L6:L24)</f>
        <v>0</v>
      </c>
      <c r="M25" s="183">
        <f>SUM(M6:M24)</f>
        <v>0</v>
      </c>
      <c r="N25" s="253"/>
      <c r="O25" s="8" t="s">
        <v>43</v>
      </c>
      <c r="P25" s="87">
        <f>SUM(P6:P24)</f>
        <v>0</v>
      </c>
      <c r="Q25" s="90">
        <f>SUM(Q6:Q24)</f>
        <v>0</v>
      </c>
      <c r="R25" s="95"/>
      <c r="S25" s="54">
        <f>SUM(S6:S24)</f>
        <v>0</v>
      </c>
      <c r="T25" s="134">
        <f>SUM(T6:T24)</f>
        <v>0</v>
      </c>
      <c r="U25" s="55"/>
      <c r="V25" s="90">
        <f>SUM(V6:V24)</f>
        <v>0</v>
      </c>
      <c r="W25" s="90">
        <f>SUM(W6:W24)</f>
        <v>0</v>
      </c>
      <c r="X25" s="89"/>
      <c r="Y25" s="87">
        <f>SUM(Y6:Y24)</f>
        <v>0</v>
      </c>
      <c r="Z25" s="90">
        <f>SUM(Z6:Z24)</f>
        <v>0</v>
      </c>
      <c r="AA25" s="91"/>
      <c r="AB25" s="87">
        <f>SUM(AB6:AB24)</f>
        <v>1597.8732799999998</v>
      </c>
      <c r="AC25" s="318">
        <f>SUM(AC6:AC24)</f>
        <v>737.3809100000001</v>
      </c>
      <c r="AD25" s="89">
        <f>(AC25/AB25)*100</f>
        <v>46.147646326497195</v>
      </c>
      <c r="AE25" s="87">
        <f>SUM(AE6:AE24)</f>
        <v>0</v>
      </c>
      <c r="AF25" s="90">
        <f>SUM(AF6:AF24)</f>
        <v>0</v>
      </c>
      <c r="AG25" s="89"/>
      <c r="AH25" s="87">
        <f>SUM(AH6:AH24)</f>
        <v>0</v>
      </c>
      <c r="AI25" s="90">
        <f>SUM(AI6:AI24)</f>
        <v>0</v>
      </c>
      <c r="AJ25" s="763">
        <f>SUM(AJ6:AJ24)</f>
        <v>0</v>
      </c>
      <c r="AK25" s="87"/>
      <c r="AL25" s="133"/>
      <c r="AM25" s="91"/>
      <c r="AN25" s="90">
        <f>SUM(AN6:AN24)</f>
        <v>146</v>
      </c>
      <c r="AO25" s="90">
        <f>SUM(AO6:AO24)</f>
        <v>0</v>
      </c>
      <c r="AP25" s="351">
        <f>(AO25/AN25)*100</f>
        <v>0</v>
      </c>
      <c r="AQ25" s="50">
        <f>SUM(AQ6:AQ24)</f>
        <v>840.74315</v>
      </c>
      <c r="AR25" s="394">
        <f>SUM(AR6:AR24)</f>
        <v>252.55819</v>
      </c>
      <c r="AT25" s="89">
        <f t="shared" si="0"/>
        <v>30.03987484168024</v>
      </c>
      <c r="AU25" s="87">
        <f>SUM(AU6:AU24)</f>
        <v>0</v>
      </c>
      <c r="AV25" s="90">
        <f>SUM(AV6:AV24)</f>
        <v>0</v>
      </c>
      <c r="AW25" s="89"/>
      <c r="AX25" s="49">
        <f>SUM(AX6:AX24)</f>
        <v>0</v>
      </c>
      <c r="AY25" s="4" t="s">
        <v>43</v>
      </c>
      <c r="AZ25" s="87">
        <f>SUM(AZ6:AZ24)</f>
        <v>0</v>
      </c>
      <c r="BA25" s="319">
        <f>SUM(BA6:BA24)</f>
        <v>0</v>
      </c>
      <c r="BB25" s="89"/>
      <c r="BC25" s="87">
        <f>SUM(BC6:BC24)</f>
        <v>0</v>
      </c>
      <c r="BD25" s="90">
        <f>SUM(BD6:BD24)</f>
        <v>0</v>
      </c>
      <c r="BE25" s="89"/>
      <c r="BF25" s="87">
        <f>SUM(BF6:BF24)</f>
        <v>0</v>
      </c>
      <c r="BG25" s="90">
        <f>SUM(BG6:BG24)</f>
        <v>0</v>
      </c>
      <c r="BH25" s="89"/>
      <c r="BI25" s="87">
        <f>SUM(BI6:BI24)</f>
        <v>1744.6743499999998</v>
      </c>
      <c r="BJ25" s="322">
        <f>SUM(BJ6:BJ24)</f>
        <v>384.03516</v>
      </c>
      <c r="BK25" s="89">
        <f>(BJ25/BI25)*100</f>
        <v>22.01185338685125</v>
      </c>
      <c r="BL25" s="4" t="s">
        <v>43</v>
      </c>
      <c r="BM25" s="87">
        <f>SUM(BM6:BM24)</f>
        <v>0</v>
      </c>
      <c r="BN25" s="90">
        <f>SUM(BN6:BN24)</f>
        <v>0</v>
      </c>
      <c r="BO25" s="95"/>
      <c r="BP25" s="183">
        <f>SUM(BP6:BP24)</f>
        <v>1566.5766800000001</v>
      </c>
      <c r="BQ25" s="311">
        <f>SUM(BQ6:BQ24)</f>
        <v>1237.59919</v>
      </c>
      <c r="BR25" s="316">
        <f t="shared" si="1"/>
        <v>79.00023061750159</v>
      </c>
      <c r="BS25" s="319">
        <f>SUM(BS6:BS24)</f>
        <v>259.24483000000004</v>
      </c>
      <c r="BT25" s="318">
        <f>SUM(BT6:BT24)</f>
        <v>20.398839999999996</v>
      </c>
      <c r="BU25" s="89">
        <f>(BT25/BS25)*100</f>
        <v>7.868561930434637</v>
      </c>
      <c r="BV25" s="87">
        <f>SUM(BV6:BV24)</f>
        <v>0</v>
      </c>
      <c r="BW25" s="90">
        <f>SUM(BW6:BW24)</f>
        <v>0</v>
      </c>
      <c r="BX25" s="89"/>
      <c r="BY25" s="4" t="s">
        <v>43</v>
      </c>
      <c r="BZ25" s="87">
        <f>SUM(BZ6:BZ24)</f>
        <v>3020.5</v>
      </c>
      <c r="CA25" s="317">
        <f>SUM(CA6:CA24)</f>
        <v>400</v>
      </c>
      <c r="CB25" s="95">
        <f>(CA25/BZ25)*100</f>
        <v>13.242840589306407</v>
      </c>
      <c r="CC25" s="654">
        <f>SUM(CC6:CC24)</f>
        <v>35</v>
      </c>
      <c r="CD25" s="654">
        <f>SUM(CD6:CD24)</f>
        <v>0</v>
      </c>
      <c r="CE25" s="150">
        <f>CD25/CC25*100</f>
        <v>0</v>
      </c>
      <c r="CF25" s="409"/>
      <c r="CG25" s="409">
        <f>SUM(CG6:CG24)</f>
        <v>0</v>
      </c>
      <c r="CH25" s="89" t="e">
        <f>(CG25/CF25)*100</f>
        <v>#DIV/0!</v>
      </c>
      <c r="CI25" s="94"/>
      <c r="CJ25" s="151"/>
      <c r="CK25" s="89"/>
      <c r="CL25" s="221">
        <f>SUM(CL6:CL24)</f>
        <v>9991.34117</v>
      </c>
      <c r="CM25" s="263">
        <f>SUM(CM6:CM24)</f>
        <v>3442.2805900000003</v>
      </c>
      <c r="CN25" s="150">
        <f t="shared" si="3"/>
        <v>34.45263785342244</v>
      </c>
      <c r="CO25" s="276"/>
    </row>
    <row r="26" spans="1:93" ht="21" thickBot="1">
      <c r="A26" s="48"/>
      <c r="B26" s="48" t="s">
        <v>44</v>
      </c>
      <c r="C26" s="326">
        <v>92.9</v>
      </c>
      <c r="D26" s="336">
        <v>46.9336</v>
      </c>
      <c r="E26" s="340">
        <f>(D26/C26)*100</f>
        <v>50.52055974165769</v>
      </c>
      <c r="F26" s="329">
        <v>3322.3</v>
      </c>
      <c r="G26" s="387">
        <v>235.68361</v>
      </c>
      <c r="H26" s="347"/>
      <c r="I26" s="330"/>
      <c r="J26" s="339"/>
      <c r="K26" s="348"/>
      <c r="L26" s="326">
        <v>780.156</v>
      </c>
      <c r="M26" s="339">
        <v>320.054</v>
      </c>
      <c r="N26" s="348"/>
      <c r="O26" s="347" t="s">
        <v>44</v>
      </c>
      <c r="P26" s="330"/>
      <c r="Q26" s="330"/>
      <c r="R26" s="348"/>
      <c r="S26" s="296"/>
      <c r="T26" s="371"/>
      <c r="U26" s="254"/>
      <c r="V26" s="338"/>
      <c r="W26" s="339"/>
      <c r="X26" s="348"/>
      <c r="Y26" s="326"/>
      <c r="Z26" s="339"/>
      <c r="AA26" s="372"/>
      <c r="AB26" s="330"/>
      <c r="AC26" s="339"/>
      <c r="AD26" s="348"/>
      <c r="AE26" s="330"/>
      <c r="AF26" s="339"/>
      <c r="AG26" s="348"/>
      <c r="AH26" s="330"/>
      <c r="AI26" s="339"/>
      <c r="AJ26" s="758"/>
      <c r="AK26" s="296">
        <v>4</v>
      </c>
      <c r="AL26" s="341">
        <v>4</v>
      </c>
      <c r="AM26" s="337"/>
      <c r="AN26" s="766">
        <v>2960.5</v>
      </c>
      <c r="AO26" s="326">
        <v>400</v>
      </c>
      <c r="AP26" s="351">
        <f>(AO26/AN26)*100</f>
        <v>13.511231210944096</v>
      </c>
      <c r="AQ26" s="326">
        <v>68</v>
      </c>
      <c r="AR26" s="395">
        <v>67.97584</v>
      </c>
      <c r="AS26" s="339"/>
      <c r="AT26" s="348">
        <f>(AS26/AQ26)*100</f>
        <v>0</v>
      </c>
      <c r="AU26" s="330"/>
      <c r="AV26" s="338"/>
      <c r="AW26" s="348"/>
      <c r="AX26" s="373"/>
      <c r="AY26" s="347" t="s">
        <v>44</v>
      </c>
      <c r="AZ26" s="330"/>
      <c r="BA26" s="338"/>
      <c r="BB26" s="348"/>
      <c r="BC26" s="330"/>
      <c r="BD26" s="338"/>
      <c r="BE26" s="348"/>
      <c r="BF26" s="330"/>
      <c r="BG26" s="338"/>
      <c r="BH26" s="348"/>
      <c r="BI26" s="326">
        <v>243</v>
      </c>
      <c r="BJ26" s="338"/>
      <c r="BK26" s="348">
        <f>(BJ26/BI26)*100</f>
        <v>0</v>
      </c>
      <c r="BL26" s="347" t="s">
        <v>44</v>
      </c>
      <c r="BM26" s="296">
        <v>282.5</v>
      </c>
      <c r="BN26" s="338">
        <v>174.924</v>
      </c>
      <c r="BO26" s="374">
        <f>(BN26/BM26)*100</f>
        <v>61.919999999999995</v>
      </c>
      <c r="BP26" s="296"/>
      <c r="BQ26" s="323"/>
      <c r="BR26" s="375"/>
      <c r="BS26" s="376"/>
      <c r="BT26" s="376"/>
      <c r="BU26" s="377" t="e">
        <f>(BT26/BS26)*100</f>
        <v>#DIV/0!</v>
      </c>
      <c r="BV26" s="326">
        <v>322</v>
      </c>
      <c r="BW26" s="378">
        <v>322</v>
      </c>
      <c r="BX26" s="348"/>
      <c r="BY26" s="347" t="s">
        <v>44</v>
      </c>
      <c r="BZ26" s="326">
        <v>2362.24571</v>
      </c>
      <c r="CA26" s="338"/>
      <c r="CB26" s="374">
        <f>(CA26/BZ26)*100</f>
        <v>0</v>
      </c>
      <c r="CC26" s="699">
        <v>50</v>
      </c>
      <c r="CD26" s="695"/>
      <c r="CE26" s="81"/>
      <c r="CF26" s="408"/>
      <c r="CG26" s="475"/>
      <c r="CH26" s="348" t="e">
        <f>(CG26/CF26)*100</f>
        <v>#DIV/0!</v>
      </c>
      <c r="CI26" s="628"/>
      <c r="CJ26" s="254"/>
      <c r="CK26" s="348" t="e">
        <f>(CJ26/CI26)*100</f>
        <v>#DIV/0!</v>
      </c>
      <c r="CL26" s="465">
        <f>C26+F26+I26+L26+P26+AN26+AQ26+AU26+AZ26+BC26+BF26+BI26+BM26+BP26+BS26+BV26+BZ26+CF26+Y26+AB26+CI26+CC26+AK26</f>
        <v>10487.601709999999</v>
      </c>
      <c r="CM26" s="254">
        <f>D26+G26+J26+M26+Q26+AO26+AR26+AV26+BA26+BD26+BG26+BJ26+BN26+BQ26+BT26+BW26+CA26+CG26+Z26+AC26+CJ26+AL26</f>
        <v>1571.57105</v>
      </c>
      <c r="CN26" s="98">
        <f t="shared" si="3"/>
        <v>14.985037508637427</v>
      </c>
      <c r="CO26" s="276"/>
    </row>
    <row r="27" spans="1:93" ht="21" thickBot="1">
      <c r="A27" s="101"/>
      <c r="B27" s="102" t="s">
        <v>45</v>
      </c>
      <c r="C27" s="160">
        <f>SUM(C25:C26)</f>
        <v>393.13181</v>
      </c>
      <c r="D27" s="113">
        <f>SUM(D25:D26)</f>
        <v>255.22674</v>
      </c>
      <c r="E27" s="105">
        <f>(D27/C27)*100</f>
        <v>64.92141656000821</v>
      </c>
      <c r="F27" s="103">
        <f>SUM(F25:F26)</f>
        <v>3613.29707</v>
      </c>
      <c r="G27" s="388">
        <f>SUM(G25:G26)</f>
        <v>309.79877</v>
      </c>
      <c r="H27" s="130"/>
      <c r="I27" s="103">
        <f>SUM(I25:I26)</f>
        <v>189.5</v>
      </c>
      <c r="J27" s="107">
        <f>SUM(J25:J26)</f>
        <v>127.9</v>
      </c>
      <c r="K27" s="105"/>
      <c r="L27" s="109">
        <f>SUM(L25:L26)</f>
        <v>780.156</v>
      </c>
      <c r="M27" s="109">
        <f>SUM(M25:M26)</f>
        <v>320.054</v>
      </c>
      <c r="N27" s="108"/>
      <c r="O27" s="102" t="s">
        <v>45</v>
      </c>
      <c r="P27" s="109">
        <f>SUM(P25:P26)</f>
        <v>0</v>
      </c>
      <c r="Q27" s="109">
        <f>SUM(Q25:Q26)</f>
        <v>0</v>
      </c>
      <c r="R27" s="105"/>
      <c r="S27" s="110">
        <f>SUM(S25:S26)</f>
        <v>0</v>
      </c>
      <c r="T27" s="110">
        <f>SUM(T25:T26)</f>
        <v>0</v>
      </c>
      <c r="U27" s="111"/>
      <c r="V27" s="107">
        <f>SUM(V25:V26)</f>
        <v>0</v>
      </c>
      <c r="W27" s="107">
        <f>SUM(W25:W26)</f>
        <v>0</v>
      </c>
      <c r="X27" s="105"/>
      <c r="Y27" s="107">
        <f>SUM(Y25:Y26)</f>
        <v>0</v>
      </c>
      <c r="Z27" s="107">
        <f>SUM(Z25:Z26)</f>
        <v>0</v>
      </c>
      <c r="AA27" s="112"/>
      <c r="AB27" s="107">
        <f>SUM(AB25:AB26)</f>
        <v>1597.8732799999998</v>
      </c>
      <c r="AC27" s="109">
        <f>SUM(AC25:AC26)</f>
        <v>737.3809100000001</v>
      </c>
      <c r="AD27" s="105">
        <f>(AC27/AB27)*100</f>
        <v>46.147646326497195</v>
      </c>
      <c r="AE27" s="107">
        <f>SUM(AE25:AE26)</f>
        <v>0</v>
      </c>
      <c r="AF27" s="107">
        <f>SUM(AF25:AF26)</f>
        <v>0</v>
      </c>
      <c r="AG27" s="105"/>
      <c r="AH27" s="107">
        <f>SUM(AH25:AH26)</f>
        <v>0</v>
      </c>
      <c r="AI27" s="107">
        <f>SUM(AI25:AI26)</f>
        <v>0</v>
      </c>
      <c r="AJ27" s="759"/>
      <c r="AK27" s="160">
        <f>AK26</f>
        <v>4</v>
      </c>
      <c r="AL27" s="771"/>
      <c r="AM27" s="772"/>
      <c r="AN27" s="116">
        <f>SUM(AN25:AN26)</f>
        <v>3106.5</v>
      </c>
      <c r="AO27" s="109">
        <f>SUM(AO25:AO26)</f>
        <v>400</v>
      </c>
      <c r="AP27" s="105"/>
      <c r="AQ27" s="109">
        <f>SUM(AQ25:AQ26)</f>
        <v>908.74315</v>
      </c>
      <c r="AR27" s="396">
        <f>SUM(AR25:AR26)</f>
        <v>320.53403000000003</v>
      </c>
      <c r="AS27" s="109">
        <f>SUM(AS25:AS26)</f>
        <v>0</v>
      </c>
      <c r="AT27" s="105">
        <f>(AS27/AQ27)*100</f>
        <v>0</v>
      </c>
      <c r="AU27" s="103">
        <f>SUM(AU25:AU26)</f>
        <v>0</v>
      </c>
      <c r="AV27" s="106">
        <f>SUM(AV25:AV26)</f>
        <v>0</v>
      </c>
      <c r="AW27" s="105"/>
      <c r="AX27" s="113">
        <f>SUM(AX25:AX26)</f>
        <v>0</v>
      </c>
      <c r="AY27" s="114"/>
      <c r="AZ27" s="103">
        <f>SUM(AZ25:AZ26)</f>
        <v>0</v>
      </c>
      <c r="BA27" s="116">
        <f>SUM(BA25:BA26)</f>
        <v>0</v>
      </c>
      <c r="BB27" s="105"/>
      <c r="BC27" s="103">
        <f>SUM(BC25:BC26)</f>
        <v>0</v>
      </c>
      <c r="BD27" s="106">
        <f>SUM(BD25:BD26)</f>
        <v>0</v>
      </c>
      <c r="BE27" s="105"/>
      <c r="BF27" s="103">
        <f>SUM(BF25:BF26)</f>
        <v>0</v>
      </c>
      <c r="BG27" s="106">
        <f>SUM(BG25:BG26)</f>
        <v>0</v>
      </c>
      <c r="BH27" s="105"/>
      <c r="BI27" s="162">
        <f>SUM(BI25:BI26)</f>
        <v>1987.6743499999998</v>
      </c>
      <c r="BJ27" s="116">
        <f>SUM(BJ25:BJ26)</f>
        <v>384.03516</v>
      </c>
      <c r="BK27" s="105">
        <f>(BJ27/BI27)*100</f>
        <v>19.3208288872873</v>
      </c>
      <c r="BL27" s="102" t="s">
        <v>45</v>
      </c>
      <c r="BM27" s="103">
        <f>SUM(BM25:BM26)</f>
        <v>282.5</v>
      </c>
      <c r="BN27" s="106">
        <f>SUM(BN25:BN26)</f>
        <v>174.924</v>
      </c>
      <c r="BO27" s="105">
        <f>(BN27/BM27)*100</f>
        <v>61.919999999999995</v>
      </c>
      <c r="BP27" s="299">
        <f>SUM(BP25:BP26)</f>
        <v>1566.5766800000001</v>
      </c>
      <c r="BQ27" s="472">
        <f>SUM(BQ25:BQ26)</f>
        <v>1237.59919</v>
      </c>
      <c r="BR27" s="98">
        <f>(BQ27/BP27)*100</f>
        <v>79.00023061750159</v>
      </c>
      <c r="BS27" s="162">
        <f>SUM(BS25:BS26)</f>
        <v>259.24483000000004</v>
      </c>
      <c r="BT27" s="116">
        <f>SUM(BT25:BT26)</f>
        <v>20.398839999999996</v>
      </c>
      <c r="BU27" s="105">
        <f>(BT27/BS27)*100</f>
        <v>7.868561930434637</v>
      </c>
      <c r="BV27" s="103">
        <f>SUM(BV25:BV26)</f>
        <v>322</v>
      </c>
      <c r="BW27" s="106">
        <f>SUM(BW25:BW26)</f>
        <v>322</v>
      </c>
      <c r="BX27" s="105">
        <f>(BW27/BV27)*100</f>
        <v>100</v>
      </c>
      <c r="BY27" s="102" t="s">
        <v>45</v>
      </c>
      <c r="BZ27" s="114">
        <f>SUM(BZ25:BZ26)</f>
        <v>5382.74571</v>
      </c>
      <c r="CA27" s="116">
        <f>SUM(CA25:CA26)</f>
        <v>400</v>
      </c>
      <c r="CB27" s="294">
        <f>(CA27/BZ27)*100</f>
        <v>7.431151712347934</v>
      </c>
      <c r="CC27" s="700">
        <f>CC25+CC26</f>
        <v>85</v>
      </c>
      <c r="CD27" s="696">
        <f>CD25+CD26</f>
        <v>0</v>
      </c>
      <c r="CE27" s="701">
        <f>CD27/CC27*100</f>
        <v>0</v>
      </c>
      <c r="CF27" s="162">
        <f>SUM(CF25:CF26)</f>
        <v>0</v>
      </c>
      <c r="CG27" s="172">
        <f>CG26</f>
        <v>0</v>
      </c>
      <c r="CH27" s="105" t="e">
        <f>(CG27/CF27)*100</f>
        <v>#DIV/0!</v>
      </c>
      <c r="CI27" s="172">
        <f>SUM(CI25:CI26)</f>
        <v>0</v>
      </c>
      <c r="CJ27" s="172">
        <f>SUM(CJ25:CJ26)</f>
        <v>0</v>
      </c>
      <c r="CK27" s="98" t="e">
        <f>(CJ27/CI27)*100</f>
        <v>#DIV/0!</v>
      </c>
      <c r="CL27" s="788">
        <f>SUM(CL25:CL26)</f>
        <v>20478.94288</v>
      </c>
      <c r="CM27" s="262">
        <f>SUM(CM25:CM26)</f>
        <v>5013.851640000001</v>
      </c>
      <c r="CN27" s="105">
        <f t="shared" si="3"/>
        <v>24.48296120253645</v>
      </c>
      <c r="CO27" s="291"/>
    </row>
    <row r="29" ht="15">
      <c r="CG29" s="406"/>
    </row>
    <row r="30" ht="12.75">
      <c r="CM30" s="177"/>
    </row>
  </sheetData>
  <mergeCells count="11">
    <mergeCell ref="AH3:AJ3"/>
    <mergeCell ref="AK3:AM4"/>
    <mergeCell ref="BZ3:CB3"/>
    <mergeCell ref="AQ3:AT3"/>
    <mergeCell ref="AZ3:BB3"/>
    <mergeCell ref="BF3:BH3"/>
    <mergeCell ref="BI3:BK3"/>
    <mergeCell ref="F3:H3"/>
    <mergeCell ref="I3:K3"/>
    <mergeCell ref="P3:R3"/>
    <mergeCell ref="S3:U3"/>
  </mergeCells>
  <printOptions/>
  <pageMargins left="0.75" right="0.75" top="1" bottom="1" header="0.5" footer="0.5"/>
  <pageSetup horizontalDpi="600" verticalDpi="600" orientation="landscape" paperSize="9" scale="75" r:id="rId1"/>
  <colBreaks count="26" manualBreakCount="26">
    <brk id="13" max="65535" man="1"/>
    <brk id="14" max="26" man="1"/>
    <brk id="27" max="65535" man="1"/>
    <brk id="28" max="65535" man="1"/>
    <brk id="44" max="65535" man="1"/>
    <brk id="45" max="65535" man="1"/>
    <brk id="47" max="65535" man="1"/>
    <brk id="48" max="65535" man="1"/>
    <brk id="49" max="65535" man="1"/>
    <brk id="50" max="65535" man="1"/>
    <brk id="62" max="65535" man="1"/>
    <brk id="63" max="65535" man="1"/>
    <brk id="74" max="65535" man="1"/>
    <brk id="75" max="65535" man="1"/>
    <brk id="76" max="65535" man="1"/>
    <brk id="89" max="65535" man="1"/>
    <brk id="90" max="65535" man="1"/>
    <brk id="91" max="65535" man="1"/>
    <brk id="92" max="65535" man="1"/>
    <brk id="93" max="65535" man="1"/>
    <brk id="94" max="65535" man="1"/>
    <brk id="95" max="65535" man="1"/>
    <brk id="113" max="65535" man="1"/>
    <brk id="131" max="65535" man="1"/>
    <brk id="149" max="65535" man="1"/>
    <brk id="16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27"/>
  <sheetViews>
    <sheetView zoomScale="60" zoomScaleNormal="60" workbookViewId="0" topLeftCell="A1">
      <pane xSplit="2" ySplit="4" topLeftCell="B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O26" sqref="BO26"/>
    </sheetView>
  </sheetViews>
  <sheetFormatPr defaultColWidth="9.00390625" defaultRowHeight="12.75"/>
  <cols>
    <col min="1" max="1" width="4.25390625" style="0" customWidth="1"/>
    <col min="2" max="2" width="28.625" style="0" customWidth="1"/>
    <col min="4" max="4" width="11.00390625" style="0" bestFit="1" customWidth="1"/>
    <col min="5" max="5" width="13.00390625" style="0" bestFit="1" customWidth="1"/>
    <col min="6" max="6" width="13.375" style="0" customWidth="1"/>
    <col min="7" max="7" width="15.25390625" style="0" customWidth="1"/>
    <col min="8" max="8" width="13.00390625" style="0" bestFit="1" customWidth="1"/>
    <col min="11" max="11" width="13.00390625" style="0" bestFit="1" customWidth="1"/>
    <col min="12" max="12" width="13.75390625" style="0" customWidth="1"/>
    <col min="13" max="13" width="11.00390625" style="0" bestFit="1" customWidth="1"/>
    <col min="14" max="14" width="14.875" style="0" customWidth="1"/>
    <col min="15" max="15" width="28.375" style="0" customWidth="1"/>
    <col min="18" max="18" width="13.25390625" style="0" bestFit="1" customWidth="1"/>
    <col min="21" max="21" width="13.25390625" style="0" bestFit="1" customWidth="1"/>
    <col min="24" max="24" width="13.25390625" style="0" bestFit="1" customWidth="1"/>
    <col min="27" max="27" width="13.25390625" style="0" bestFit="1" customWidth="1"/>
    <col min="29" max="29" width="13.25390625" style="0" bestFit="1" customWidth="1"/>
    <col min="30" max="30" width="15.00390625" style="0" customWidth="1"/>
    <col min="31" max="31" width="14.25390625" style="0" customWidth="1"/>
    <col min="32" max="32" width="13.25390625" style="0" bestFit="1" customWidth="1"/>
    <col min="35" max="35" width="11.75390625" style="0" customWidth="1"/>
    <col min="38" max="38" width="13.00390625" style="0" customWidth="1"/>
    <col min="44" max="44" width="10.875" style="0" customWidth="1"/>
    <col min="45" max="45" width="29.125" style="0" customWidth="1"/>
    <col min="48" max="51" width="13.375" style="0" customWidth="1"/>
    <col min="54" max="54" width="13.875" style="0" customWidth="1"/>
    <col min="59" max="59" width="10.125" style="0" customWidth="1"/>
    <col min="61" max="61" width="29.125" style="0" customWidth="1"/>
    <col min="65" max="66" width="9.125" style="0" customWidth="1"/>
    <col min="67" max="67" width="15.25390625" style="0" customWidth="1"/>
    <col min="68" max="72" width="9.125" style="0" customWidth="1"/>
    <col min="73" max="73" width="11.625" style="0" customWidth="1"/>
    <col min="74" max="74" width="29.125" style="0" customWidth="1"/>
    <col min="75" max="75" width="15.875" style="0" customWidth="1"/>
    <col min="76" max="76" width="11.125" style="0" customWidth="1"/>
    <col min="77" max="77" width="12.00390625" style="0" customWidth="1"/>
    <col min="83" max="83" width="11.375" style="0" customWidth="1"/>
    <col min="84" max="84" width="20.75390625" style="0" customWidth="1"/>
    <col min="85" max="85" width="18.25390625" style="0" customWidth="1"/>
    <col min="86" max="86" width="15.875" style="0" customWidth="1"/>
  </cols>
  <sheetData>
    <row r="1" spans="1:86" ht="24">
      <c r="A1" s="118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2"/>
      <c r="L1" s="2"/>
      <c r="M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4" ht="21" thickBot="1">
      <c r="A2" s="2"/>
      <c r="B2" s="2"/>
      <c r="C2" s="3"/>
      <c r="D2" s="3"/>
      <c r="E2" s="3" t="s">
        <v>240</v>
      </c>
      <c r="F2" s="3"/>
      <c r="G2" s="3"/>
      <c r="H2" s="3"/>
      <c r="I2" s="3"/>
      <c r="J2" s="3"/>
      <c r="K2" s="2"/>
      <c r="L2" s="123" t="s">
        <v>104</v>
      </c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58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6" ht="20.25">
      <c r="A3" s="4" t="s">
        <v>40</v>
      </c>
      <c r="B3" s="5" t="s">
        <v>39</v>
      </c>
      <c r="C3" s="6" t="s">
        <v>59</v>
      </c>
      <c r="D3" s="7"/>
      <c r="E3" s="8"/>
      <c r="F3" s="810" t="s">
        <v>71</v>
      </c>
      <c r="G3" s="811"/>
      <c r="H3" s="811"/>
      <c r="I3" s="815" t="s">
        <v>84</v>
      </c>
      <c r="J3" s="816"/>
      <c r="K3" s="817"/>
      <c r="L3" s="7" t="s">
        <v>60</v>
      </c>
      <c r="M3" s="7"/>
      <c r="N3" s="7"/>
      <c r="O3" s="129" t="s">
        <v>39</v>
      </c>
      <c r="P3" s="810" t="s">
        <v>61</v>
      </c>
      <c r="Q3" s="811"/>
      <c r="R3" s="812"/>
      <c r="S3" s="810" t="s">
        <v>92</v>
      </c>
      <c r="T3" s="811"/>
      <c r="U3" s="812"/>
      <c r="V3" s="7" t="s">
        <v>127</v>
      </c>
      <c r="W3" s="7"/>
      <c r="X3" s="7"/>
      <c r="Y3" s="6"/>
      <c r="Z3" s="7"/>
      <c r="AA3" s="9"/>
      <c r="AB3" s="7"/>
      <c r="AC3" s="11"/>
      <c r="AD3" s="13" t="s">
        <v>75</v>
      </c>
      <c r="AE3" s="14"/>
      <c r="AF3" s="15"/>
      <c r="AG3" s="16" t="s">
        <v>124</v>
      </c>
      <c r="AH3" s="14"/>
      <c r="AI3" s="15"/>
      <c r="AJ3" s="16" t="s">
        <v>66</v>
      </c>
      <c r="AK3" s="14"/>
      <c r="AL3" s="17"/>
      <c r="AM3" s="12" t="s">
        <v>72</v>
      </c>
      <c r="AN3" s="7"/>
      <c r="AO3" s="7"/>
      <c r="AP3" s="813" t="s">
        <v>68</v>
      </c>
      <c r="AQ3" s="811"/>
      <c r="AR3" s="811"/>
      <c r="AS3" s="5" t="s">
        <v>39</v>
      </c>
      <c r="AT3" s="813" t="s">
        <v>65</v>
      </c>
      <c r="AU3" s="811"/>
      <c r="AV3" s="811"/>
      <c r="AW3" s="810">
        <v>90501</v>
      </c>
      <c r="AX3" s="811"/>
      <c r="AY3" s="812"/>
      <c r="AZ3" s="6" t="s">
        <v>63</v>
      </c>
      <c r="BA3" s="7"/>
      <c r="BB3" s="9"/>
      <c r="BC3" s="811"/>
      <c r="BD3" s="811"/>
      <c r="BE3" s="814"/>
      <c r="BF3" s="813" t="s">
        <v>96</v>
      </c>
      <c r="BG3" s="811"/>
      <c r="BH3" s="814"/>
      <c r="BI3" s="10" t="s">
        <v>39</v>
      </c>
      <c r="BJ3" s="6" t="s">
        <v>98</v>
      </c>
      <c r="BK3" s="7"/>
      <c r="BL3" s="9"/>
      <c r="BM3" s="476" t="s">
        <v>198</v>
      </c>
      <c r="BN3" s="7"/>
      <c r="BO3" s="9"/>
      <c r="BP3" s="7" t="s">
        <v>76</v>
      </c>
      <c r="BQ3" s="7"/>
      <c r="BR3" s="7"/>
      <c r="BS3" s="6" t="s">
        <v>70</v>
      </c>
      <c r="BT3" s="7"/>
      <c r="BU3" s="9"/>
      <c r="BV3" s="10" t="s">
        <v>39</v>
      </c>
      <c r="BW3" s="829"/>
      <c r="BX3" s="830"/>
      <c r="BY3" s="831"/>
      <c r="BZ3" s="811" t="s">
        <v>112</v>
      </c>
      <c r="CA3" s="811"/>
      <c r="CB3" s="812"/>
      <c r="CC3" s="6" t="s">
        <v>100</v>
      </c>
      <c r="CD3" s="7"/>
      <c r="CE3" s="7"/>
      <c r="CF3" s="6" t="s">
        <v>78</v>
      </c>
      <c r="CG3" s="10"/>
      <c r="CH3" s="179"/>
    </row>
    <row r="4" spans="1:86" ht="21" thickBot="1">
      <c r="A4" s="19"/>
      <c r="B4" s="20"/>
      <c r="C4" s="21"/>
      <c r="D4" s="22" t="s">
        <v>82</v>
      </c>
      <c r="E4" s="23"/>
      <c r="F4" s="22"/>
      <c r="G4" s="22" t="s">
        <v>46</v>
      </c>
      <c r="H4" s="22"/>
      <c r="I4" s="21"/>
      <c r="J4" s="22" t="s">
        <v>85</v>
      </c>
      <c r="K4" s="23"/>
      <c r="L4" s="22"/>
      <c r="M4" s="22" t="s">
        <v>47</v>
      </c>
      <c r="N4" s="22"/>
      <c r="O4" s="20"/>
      <c r="P4" s="126"/>
      <c r="Q4" s="127" t="s">
        <v>91</v>
      </c>
      <c r="R4" s="128"/>
      <c r="S4" s="126"/>
      <c r="T4" s="127" t="s">
        <v>51</v>
      </c>
      <c r="U4" s="128"/>
      <c r="V4" s="22"/>
      <c r="W4" s="22" t="s">
        <v>128</v>
      </c>
      <c r="X4" s="22"/>
      <c r="Y4" s="126"/>
      <c r="Z4" s="127" t="s">
        <v>197</v>
      </c>
      <c r="AA4" s="128"/>
      <c r="AB4" s="22"/>
      <c r="AC4" s="24"/>
      <c r="AD4" s="27"/>
      <c r="AE4" s="28" t="s">
        <v>94</v>
      </c>
      <c r="AF4" s="29"/>
      <c r="AG4" s="30"/>
      <c r="AH4" s="28" t="s">
        <v>125</v>
      </c>
      <c r="AI4" s="29"/>
      <c r="AJ4" s="30"/>
      <c r="AK4" s="28" t="s">
        <v>53</v>
      </c>
      <c r="AL4" s="31"/>
      <c r="AM4" s="26"/>
      <c r="AN4" s="22" t="s">
        <v>69</v>
      </c>
      <c r="AO4" s="22"/>
      <c r="AP4" s="26"/>
      <c r="AQ4" s="22"/>
      <c r="AR4" s="22" t="s">
        <v>55</v>
      </c>
      <c r="AS4" s="20"/>
      <c r="AT4" s="33"/>
      <c r="AU4" s="22" t="s">
        <v>54</v>
      </c>
      <c r="AV4" s="22"/>
      <c r="AW4" s="823"/>
      <c r="AX4" s="824"/>
      <c r="AY4" s="825"/>
      <c r="AZ4" s="21" t="s">
        <v>49</v>
      </c>
      <c r="BA4" s="22"/>
      <c r="BB4" s="23"/>
      <c r="BC4" s="22"/>
      <c r="BD4" s="22" t="s">
        <v>118</v>
      </c>
      <c r="BE4" s="22"/>
      <c r="BF4" s="33"/>
      <c r="BG4" s="22" t="s">
        <v>97</v>
      </c>
      <c r="BH4" s="24"/>
      <c r="BI4" s="25"/>
      <c r="BJ4" s="21"/>
      <c r="BK4" s="22" t="s">
        <v>99</v>
      </c>
      <c r="BL4" s="23"/>
      <c r="BM4" s="21" t="s">
        <v>89</v>
      </c>
      <c r="BN4" s="22"/>
      <c r="BO4" s="23"/>
      <c r="BP4" s="22"/>
      <c r="BQ4" s="22" t="s">
        <v>77</v>
      </c>
      <c r="BR4" s="22"/>
      <c r="BS4" s="21"/>
      <c r="BT4" s="22" t="s">
        <v>107</v>
      </c>
      <c r="BU4" s="23"/>
      <c r="BV4" s="25"/>
      <c r="BW4" s="826" t="s">
        <v>213</v>
      </c>
      <c r="BX4" s="827"/>
      <c r="BY4" s="828"/>
      <c r="BZ4" s="22"/>
      <c r="CA4" s="22" t="s">
        <v>109</v>
      </c>
      <c r="CB4" s="23"/>
      <c r="CC4" s="21"/>
      <c r="CD4" s="22" t="s">
        <v>102</v>
      </c>
      <c r="CE4" s="22"/>
      <c r="CF4" s="21"/>
      <c r="CG4" s="22"/>
      <c r="CH4" s="23"/>
    </row>
    <row r="5" spans="1:86" ht="21" thickBot="1">
      <c r="A5" s="34"/>
      <c r="B5" s="35"/>
      <c r="C5" s="36" t="s">
        <v>41</v>
      </c>
      <c r="D5" s="37" t="s">
        <v>42</v>
      </c>
      <c r="E5" s="38" t="s">
        <v>0</v>
      </c>
      <c r="F5" s="42" t="s">
        <v>41</v>
      </c>
      <c r="G5" s="40" t="s">
        <v>42</v>
      </c>
      <c r="H5" s="47" t="s">
        <v>0</v>
      </c>
      <c r="I5" s="39" t="s">
        <v>41</v>
      </c>
      <c r="J5" s="40" t="s">
        <v>42</v>
      </c>
      <c r="K5" s="41" t="s">
        <v>0</v>
      </c>
      <c r="L5" s="42" t="s">
        <v>41</v>
      </c>
      <c r="M5" s="40" t="s">
        <v>42</v>
      </c>
      <c r="N5" s="47" t="s">
        <v>0</v>
      </c>
      <c r="O5" s="34"/>
      <c r="P5" s="42" t="s">
        <v>41</v>
      </c>
      <c r="Q5" s="40" t="s">
        <v>42</v>
      </c>
      <c r="R5" s="38" t="s">
        <v>0</v>
      </c>
      <c r="S5" s="39" t="s">
        <v>41</v>
      </c>
      <c r="T5" s="40" t="s">
        <v>42</v>
      </c>
      <c r="U5" s="41" t="s">
        <v>0</v>
      </c>
      <c r="V5" s="42" t="s">
        <v>41</v>
      </c>
      <c r="W5" s="42" t="s">
        <v>42</v>
      </c>
      <c r="X5" s="41" t="s">
        <v>0</v>
      </c>
      <c r="Y5" s="39" t="s">
        <v>41</v>
      </c>
      <c r="Z5" s="40" t="s">
        <v>42</v>
      </c>
      <c r="AA5" s="38" t="s">
        <v>0</v>
      </c>
      <c r="AB5" s="39" t="s">
        <v>41</v>
      </c>
      <c r="AC5" s="40" t="s">
        <v>0</v>
      </c>
      <c r="AD5" s="43" t="s">
        <v>41</v>
      </c>
      <c r="AE5" s="44" t="s">
        <v>42</v>
      </c>
      <c r="AF5" s="45" t="s">
        <v>0</v>
      </c>
      <c r="AG5" s="43" t="s">
        <v>41</v>
      </c>
      <c r="AH5" s="44" t="s">
        <v>42</v>
      </c>
      <c r="AI5" s="45" t="s">
        <v>0</v>
      </c>
      <c r="AJ5" s="43" t="s">
        <v>41</v>
      </c>
      <c r="AK5" s="44" t="s">
        <v>42</v>
      </c>
      <c r="AL5" s="45" t="s">
        <v>0</v>
      </c>
      <c r="AM5" s="39" t="s">
        <v>41</v>
      </c>
      <c r="AN5" s="40" t="s">
        <v>42</v>
      </c>
      <c r="AO5" s="41" t="s">
        <v>0</v>
      </c>
      <c r="AP5" s="136" t="s">
        <v>41</v>
      </c>
      <c r="AQ5" s="137" t="s">
        <v>42</v>
      </c>
      <c r="AR5" s="132" t="s">
        <v>0</v>
      </c>
      <c r="AS5" s="35"/>
      <c r="AT5" s="39" t="s">
        <v>41</v>
      </c>
      <c r="AU5" s="40" t="s">
        <v>42</v>
      </c>
      <c r="AV5" s="47" t="s">
        <v>0</v>
      </c>
      <c r="AW5" s="780" t="s">
        <v>41</v>
      </c>
      <c r="AX5" s="781" t="s">
        <v>42</v>
      </c>
      <c r="AY5" s="782" t="s">
        <v>0</v>
      </c>
      <c r="AZ5" s="42" t="s">
        <v>41</v>
      </c>
      <c r="BA5" s="40" t="s">
        <v>42</v>
      </c>
      <c r="BB5" s="41" t="s">
        <v>0</v>
      </c>
      <c r="BC5" s="42" t="s">
        <v>41</v>
      </c>
      <c r="BD5" s="40" t="s">
        <v>42</v>
      </c>
      <c r="BE5" s="41" t="s">
        <v>0</v>
      </c>
      <c r="BF5" s="39" t="s">
        <v>41</v>
      </c>
      <c r="BG5" s="40" t="s">
        <v>42</v>
      </c>
      <c r="BH5" s="41" t="s">
        <v>0</v>
      </c>
      <c r="BI5" s="35"/>
      <c r="BJ5" s="39" t="s">
        <v>41</v>
      </c>
      <c r="BK5" s="40" t="s">
        <v>42</v>
      </c>
      <c r="BL5" s="41" t="s">
        <v>0</v>
      </c>
      <c r="BM5" s="39" t="s">
        <v>41</v>
      </c>
      <c r="BN5" s="40" t="s">
        <v>42</v>
      </c>
      <c r="BO5" s="41" t="s">
        <v>0</v>
      </c>
      <c r="BP5" s="42" t="s">
        <v>41</v>
      </c>
      <c r="BQ5" s="40" t="s">
        <v>42</v>
      </c>
      <c r="BR5" s="47" t="s">
        <v>0</v>
      </c>
      <c r="BS5" s="39" t="s">
        <v>41</v>
      </c>
      <c r="BT5" s="40" t="s">
        <v>42</v>
      </c>
      <c r="BU5" s="41" t="s">
        <v>0</v>
      </c>
      <c r="BV5" s="125"/>
      <c r="BW5" s="39" t="s">
        <v>41</v>
      </c>
      <c r="BX5" s="40" t="s">
        <v>42</v>
      </c>
      <c r="BY5" s="41" t="s">
        <v>0</v>
      </c>
      <c r="BZ5" s="42" t="s">
        <v>41</v>
      </c>
      <c r="CA5" s="40" t="s">
        <v>42</v>
      </c>
      <c r="CB5" s="41" t="s">
        <v>0</v>
      </c>
      <c r="CC5" s="39" t="s">
        <v>41</v>
      </c>
      <c r="CD5" s="40" t="s">
        <v>42</v>
      </c>
      <c r="CE5" s="47" t="s">
        <v>0</v>
      </c>
      <c r="CF5" s="39" t="s">
        <v>41</v>
      </c>
      <c r="CG5" s="40" t="s">
        <v>42</v>
      </c>
      <c r="CH5" s="41" t="s">
        <v>0</v>
      </c>
    </row>
    <row r="6" spans="1:87" ht="20.25">
      <c r="A6" s="117">
        <v>1</v>
      </c>
      <c r="B6" s="48" t="s">
        <v>2</v>
      </c>
      <c r="C6" s="50"/>
      <c r="D6" s="51"/>
      <c r="E6" s="64"/>
      <c r="F6" s="53"/>
      <c r="G6" s="253"/>
      <c r="H6" s="52"/>
      <c r="I6" s="50"/>
      <c r="J6" s="55"/>
      <c r="K6" s="64"/>
      <c r="L6" s="87"/>
      <c r="M6" s="133"/>
      <c r="N6" s="89"/>
      <c r="O6" s="131" t="s">
        <v>2</v>
      </c>
      <c r="P6" s="53"/>
      <c r="Q6" s="54"/>
      <c r="R6" s="52"/>
      <c r="S6" s="87"/>
      <c r="T6" s="122"/>
      <c r="U6" s="93"/>
      <c r="V6" s="53"/>
      <c r="W6" s="54"/>
      <c r="X6" s="52"/>
      <c r="Y6" s="50"/>
      <c r="Z6" s="54"/>
      <c r="AA6" s="56"/>
      <c r="AB6" s="50"/>
      <c r="AC6" s="52"/>
      <c r="AE6" s="55">
        <v>10.85</v>
      </c>
      <c r="AF6" s="52"/>
      <c r="AG6" s="50"/>
      <c r="AH6" s="54"/>
      <c r="AI6" s="52"/>
      <c r="AJ6" s="50"/>
      <c r="AK6" s="54"/>
      <c r="AL6" s="56"/>
      <c r="AM6" s="50"/>
      <c r="AN6" s="54"/>
      <c r="AO6" s="52"/>
      <c r="AP6" s="87"/>
      <c r="AQ6" s="133"/>
      <c r="AR6" s="138"/>
      <c r="AS6" s="48" t="s">
        <v>2</v>
      </c>
      <c r="AT6" s="50"/>
      <c r="AU6" s="54"/>
      <c r="AV6" s="51"/>
      <c r="AW6" s="149"/>
      <c r="AX6" s="151">
        <v>7.521</v>
      </c>
      <c r="AY6" s="89"/>
      <c r="AZ6" s="53"/>
      <c r="BA6" s="54"/>
      <c r="BB6" s="52"/>
      <c r="BC6" s="50"/>
      <c r="BD6" s="54"/>
      <c r="BE6" s="52"/>
      <c r="BF6" s="50"/>
      <c r="BG6" s="54"/>
      <c r="BH6" s="52"/>
      <c r="BI6" s="48" t="s">
        <v>2</v>
      </c>
      <c r="BJ6" s="50"/>
      <c r="BK6" s="54"/>
      <c r="BL6" s="52"/>
      <c r="BM6" s="50"/>
      <c r="BN6" s="54"/>
      <c r="BO6" s="64"/>
      <c r="BP6" s="60"/>
      <c r="BQ6" s="54"/>
      <c r="BR6" s="64"/>
      <c r="BS6" s="50"/>
      <c r="BT6" s="54"/>
      <c r="BU6" s="52"/>
      <c r="BV6" s="72" t="s">
        <v>2</v>
      </c>
      <c r="BW6" s="87"/>
      <c r="BX6" s="133"/>
      <c r="BY6" s="91"/>
      <c r="BZ6" s="53"/>
      <c r="CA6" s="54"/>
      <c r="CB6" s="51"/>
      <c r="CC6" s="53"/>
      <c r="CD6" s="54"/>
      <c r="CE6" s="51"/>
      <c r="CF6" s="271">
        <f>C6+F6+I6+L6+P6+AM6+AP6+AZ6+BC6+BF6+BJ6+BM6+BP6+BS6+BZ6+CC6+S6+Y6+AD12</f>
        <v>0</v>
      </c>
      <c r="CG6" s="741">
        <f>D6+G6+J6+M6+Q6+AN6+AQ6+BA6+BD6+BG6+BK6+BN6+BQ6+BT6+CA6+CD6+T6+Z6+AE6+BX6+AX6</f>
        <v>18.371</v>
      </c>
      <c r="CH6" s="52" t="e">
        <f aca="true" t="shared" si="0" ref="CH6:CH27">(CG6/CF6)*100</f>
        <v>#DIV/0!</v>
      </c>
      <c r="CI6" s="1"/>
    </row>
    <row r="7" spans="1:87" ht="20.25">
      <c r="A7" s="48" t="s">
        <v>3</v>
      </c>
      <c r="B7" s="48" t="s">
        <v>4</v>
      </c>
      <c r="C7" s="60"/>
      <c r="D7" s="70"/>
      <c r="E7" s="64"/>
      <c r="F7" s="62"/>
      <c r="G7" s="63"/>
      <c r="H7" s="52"/>
      <c r="I7" s="60"/>
      <c r="J7" s="63"/>
      <c r="K7" s="51"/>
      <c r="L7" s="60"/>
      <c r="M7" s="63"/>
      <c r="N7" s="64"/>
      <c r="O7" s="131" t="s">
        <v>4</v>
      </c>
      <c r="P7" s="62"/>
      <c r="Q7" s="63"/>
      <c r="R7" s="52"/>
      <c r="S7" s="60"/>
      <c r="T7" s="63"/>
      <c r="U7" s="64"/>
      <c r="V7" s="62"/>
      <c r="W7" s="63"/>
      <c r="X7" s="52"/>
      <c r="Y7" s="60"/>
      <c r="Z7" s="63"/>
      <c r="AA7" s="65"/>
      <c r="AB7" s="60"/>
      <c r="AC7" s="52"/>
      <c r="AD7" s="60"/>
      <c r="AE7" s="68">
        <v>10.46028</v>
      </c>
      <c r="AF7" s="52"/>
      <c r="AG7" s="60"/>
      <c r="AH7" s="63"/>
      <c r="AI7" s="52"/>
      <c r="AJ7" s="60"/>
      <c r="AK7" s="63"/>
      <c r="AL7" s="65"/>
      <c r="AM7" s="60"/>
      <c r="AN7" s="63"/>
      <c r="AO7" s="52"/>
      <c r="AP7" s="60"/>
      <c r="AQ7" s="63"/>
      <c r="AR7" s="139"/>
      <c r="AS7" s="48" t="s">
        <v>4</v>
      </c>
      <c r="AT7" s="60"/>
      <c r="AU7" s="63"/>
      <c r="AV7" s="51"/>
      <c r="AW7" s="67"/>
      <c r="AX7" s="68">
        <v>1.62871</v>
      </c>
      <c r="AY7" s="64"/>
      <c r="AZ7" s="62"/>
      <c r="BA7" s="63"/>
      <c r="BB7" s="52"/>
      <c r="BC7" s="60"/>
      <c r="BD7" s="63"/>
      <c r="BE7" s="52"/>
      <c r="BF7" s="60"/>
      <c r="BG7" s="63"/>
      <c r="BH7" s="52"/>
      <c r="BI7" s="48" t="s">
        <v>4</v>
      </c>
      <c r="BJ7" s="60"/>
      <c r="BK7" s="63"/>
      <c r="BL7" s="64" t="e">
        <f>(BK7/BJ7)*100</f>
        <v>#DIV/0!</v>
      </c>
      <c r="BM7" s="60"/>
      <c r="BN7" s="63"/>
      <c r="BO7" s="64"/>
      <c r="BP7" s="60"/>
      <c r="BQ7" s="63"/>
      <c r="BR7" s="64"/>
      <c r="BS7" s="60"/>
      <c r="BT7" s="63"/>
      <c r="BU7" s="52"/>
      <c r="BV7" s="72" t="s">
        <v>4</v>
      </c>
      <c r="BW7" s="60"/>
      <c r="BX7" s="63"/>
      <c r="BY7" s="65"/>
      <c r="BZ7" s="62"/>
      <c r="CA7" s="63"/>
      <c r="CB7" s="51"/>
      <c r="CC7" s="62"/>
      <c r="CD7" s="63"/>
      <c r="CE7" s="51"/>
      <c r="CF7" s="277">
        <f>C7+F7+I7+L7+P7+AM7+AP7+AZ7+BC7+BF7+BJ7+BM7+BP7+BS7+BZ7+CC7+S7+Y7+AD7</f>
        <v>0</v>
      </c>
      <c r="CG7" s="741">
        <f>D7+G7+J7+M7+Q7+AN7+AQ7+BA7+BD7+BG7+BK7+BN7+BQ7+BT7+CA7+CD7+T7+Z7+AE7+AX7</f>
        <v>12.088989999999999</v>
      </c>
      <c r="CH7" s="64" t="e">
        <f t="shared" si="0"/>
        <v>#DIV/0!</v>
      </c>
      <c r="CI7" s="1"/>
    </row>
    <row r="8" spans="1:87" ht="20.25">
      <c r="A8" s="48" t="s">
        <v>5</v>
      </c>
      <c r="B8" s="48" t="s">
        <v>6</v>
      </c>
      <c r="C8" s="155"/>
      <c r="D8" s="178"/>
      <c r="E8" s="64"/>
      <c r="F8" s="62"/>
      <c r="G8" s="63"/>
      <c r="H8" s="52"/>
      <c r="I8" s="60"/>
      <c r="J8" s="63"/>
      <c r="K8" s="51"/>
      <c r="L8" s="60"/>
      <c r="M8" s="63"/>
      <c r="N8" s="64"/>
      <c r="O8" s="131" t="s">
        <v>6</v>
      </c>
      <c r="P8" s="62"/>
      <c r="Q8" s="68"/>
      <c r="R8" s="52"/>
      <c r="S8" s="60"/>
      <c r="T8" s="63"/>
      <c r="U8" s="64"/>
      <c r="V8" s="62"/>
      <c r="W8" s="63"/>
      <c r="X8" s="52"/>
      <c r="Y8" s="60"/>
      <c r="Z8" s="63"/>
      <c r="AA8" s="65"/>
      <c r="AB8" s="60"/>
      <c r="AC8" s="52"/>
      <c r="AD8" s="67"/>
      <c r="AE8" s="68"/>
      <c r="AF8" s="52"/>
      <c r="AG8" s="60"/>
      <c r="AH8" s="63"/>
      <c r="AI8" s="52"/>
      <c r="AJ8" s="60"/>
      <c r="AK8" s="63"/>
      <c r="AL8" s="65"/>
      <c r="AM8" s="60"/>
      <c r="AN8" s="63"/>
      <c r="AO8" s="52"/>
      <c r="AP8" s="60"/>
      <c r="AQ8" s="63"/>
      <c r="AR8" s="139"/>
      <c r="AS8" s="48" t="s">
        <v>6</v>
      </c>
      <c r="AT8" s="60"/>
      <c r="AU8" s="68"/>
      <c r="AV8" s="51"/>
      <c r="AW8" s="67"/>
      <c r="AX8" s="68"/>
      <c r="AY8" s="64"/>
      <c r="AZ8" s="62"/>
      <c r="BA8" s="63"/>
      <c r="BB8" s="52"/>
      <c r="BC8" s="60"/>
      <c r="BD8" s="63"/>
      <c r="BE8" s="52"/>
      <c r="BF8" s="60"/>
      <c r="BG8" s="63"/>
      <c r="BH8" s="52"/>
      <c r="BI8" s="48" t="s">
        <v>6</v>
      </c>
      <c r="BJ8" s="60"/>
      <c r="BK8" s="63"/>
      <c r="BL8" s="52"/>
      <c r="BM8" s="60"/>
      <c r="BN8" s="63"/>
      <c r="BO8" s="64"/>
      <c r="BP8" s="60"/>
      <c r="BQ8" s="63"/>
      <c r="BR8" s="64"/>
      <c r="BS8" s="60"/>
      <c r="BT8" s="63"/>
      <c r="BU8" s="52"/>
      <c r="BV8" s="72" t="s">
        <v>6</v>
      </c>
      <c r="BW8" s="60"/>
      <c r="BX8" s="63"/>
      <c r="BY8" s="65"/>
      <c r="BZ8" s="62"/>
      <c r="CA8" s="63"/>
      <c r="CB8" s="51"/>
      <c r="CC8" s="62"/>
      <c r="CD8" s="63"/>
      <c r="CE8" s="51"/>
      <c r="CF8" s="277">
        <f>C8+F8+I8+L8+P8+AM8+AP8+AZ8+BC8+BF8+BJ8+BM8+BP8+BS8+BZ8+CC8+S8+Y8+AD8</f>
        <v>0</v>
      </c>
      <c r="CG8" s="741">
        <f>D8+G8+J8+M8+Q8+AN8+AQ8+BA8+BD8+BG8+BK8+BN8+BQ8+BT8+CA8+CD8+T8+Z8+AE8+AX8</f>
        <v>0</v>
      </c>
      <c r="CH8" s="64" t="e">
        <f t="shared" si="0"/>
        <v>#DIV/0!</v>
      </c>
      <c r="CI8" s="1"/>
    </row>
    <row r="9" spans="1:87" ht="20.25">
      <c r="A9" s="48" t="s">
        <v>7</v>
      </c>
      <c r="B9" s="48" t="s">
        <v>8</v>
      </c>
      <c r="C9" s="60"/>
      <c r="D9" s="70"/>
      <c r="E9" s="64"/>
      <c r="F9" s="62"/>
      <c r="G9" s="63"/>
      <c r="H9" s="52"/>
      <c r="I9" s="60"/>
      <c r="J9" s="63"/>
      <c r="K9" s="51"/>
      <c r="L9" s="60"/>
      <c r="M9" s="63"/>
      <c r="N9" s="64"/>
      <c r="O9" s="131" t="s">
        <v>8</v>
      </c>
      <c r="P9" s="62"/>
      <c r="Q9" s="63"/>
      <c r="R9" s="52"/>
      <c r="S9" s="60"/>
      <c r="T9" s="63"/>
      <c r="U9" s="64"/>
      <c r="V9" s="62"/>
      <c r="W9" s="63"/>
      <c r="X9" s="52"/>
      <c r="Y9" s="60"/>
      <c r="Z9" s="63"/>
      <c r="AA9" s="65"/>
      <c r="AB9" s="60"/>
      <c r="AC9" s="52"/>
      <c r="AD9" s="60"/>
      <c r="AE9" s="68"/>
      <c r="AF9" s="52"/>
      <c r="AG9" s="60"/>
      <c r="AH9" s="63"/>
      <c r="AI9" s="52"/>
      <c r="AJ9" s="60"/>
      <c r="AK9" s="63"/>
      <c r="AL9" s="65"/>
      <c r="AM9" s="60"/>
      <c r="AN9" s="63"/>
      <c r="AO9" s="52"/>
      <c r="AP9" s="60"/>
      <c r="AQ9" s="63"/>
      <c r="AR9" s="139"/>
      <c r="AS9" s="48" t="s">
        <v>8</v>
      </c>
      <c r="AT9" s="60"/>
      <c r="AU9" s="63"/>
      <c r="AV9" s="51"/>
      <c r="AW9" s="67"/>
      <c r="AX9" s="68"/>
      <c r="AY9" s="64"/>
      <c r="AZ9" s="62"/>
      <c r="BA9" s="63"/>
      <c r="BB9" s="52"/>
      <c r="BC9" s="60"/>
      <c r="BD9" s="63"/>
      <c r="BE9" s="52"/>
      <c r="BF9" s="60"/>
      <c r="BG9" s="63"/>
      <c r="BH9" s="52"/>
      <c r="BI9" s="48" t="s">
        <v>8</v>
      </c>
      <c r="BJ9" s="60"/>
      <c r="BK9" s="63"/>
      <c r="BL9" s="52"/>
      <c r="BM9" s="60"/>
      <c r="BN9" s="63"/>
      <c r="BO9" s="64"/>
      <c r="BP9" s="60"/>
      <c r="BQ9" s="63"/>
      <c r="BR9" s="64"/>
      <c r="BS9" s="60"/>
      <c r="BT9" s="63"/>
      <c r="BU9" s="52"/>
      <c r="BV9" s="72" t="s">
        <v>8</v>
      </c>
      <c r="BW9" s="60"/>
      <c r="BX9" s="63"/>
      <c r="BY9" s="65"/>
      <c r="BZ9" s="62"/>
      <c r="CA9" s="63"/>
      <c r="CB9" s="51"/>
      <c r="CC9" s="62"/>
      <c r="CD9" s="63"/>
      <c r="CE9" s="51"/>
      <c r="CF9" s="277">
        <f>C9+F9+I9+L9+P9+AM9+AP9+AZ9+BC9+BF9+BJ9+BM9+BP9+BS9+BZ9+CC9+S9+Y9+AD9</f>
        <v>0</v>
      </c>
      <c r="CG9" s="741">
        <f>D9+G9+J9+M9+Q9+AN9+AQ9+BA9+BD9+BG9+BK9+BN9+BQ9+BT9+CA9+CD9+T9+Z9+AE9+AX9</f>
        <v>0</v>
      </c>
      <c r="CH9" s="64" t="e">
        <f t="shared" si="0"/>
        <v>#DIV/0!</v>
      </c>
      <c r="CI9" s="1"/>
    </row>
    <row r="10" spans="1:87" ht="20.25">
      <c r="A10" s="48" t="s">
        <v>9</v>
      </c>
      <c r="B10" s="48" t="s">
        <v>10</v>
      </c>
      <c r="C10" s="60"/>
      <c r="D10" s="70"/>
      <c r="E10" s="64"/>
      <c r="F10" s="62"/>
      <c r="G10" s="63"/>
      <c r="H10" s="52"/>
      <c r="I10" s="60"/>
      <c r="J10" s="63"/>
      <c r="K10" s="51"/>
      <c r="L10" s="60"/>
      <c r="M10" s="63"/>
      <c r="N10" s="64"/>
      <c r="O10" s="131" t="s">
        <v>10</v>
      </c>
      <c r="P10" s="62"/>
      <c r="Q10" s="63"/>
      <c r="R10" s="52"/>
      <c r="S10" s="60"/>
      <c r="T10" s="63"/>
      <c r="U10" s="64"/>
      <c r="V10" s="62"/>
      <c r="W10" s="63"/>
      <c r="X10" s="52"/>
      <c r="Y10" s="60"/>
      <c r="Z10" s="63"/>
      <c r="AA10" s="65"/>
      <c r="AB10" s="60"/>
      <c r="AC10" s="52"/>
      <c r="AD10" s="60"/>
      <c r="AE10" s="68"/>
      <c r="AF10" s="52"/>
      <c r="AG10" s="60"/>
      <c r="AH10" s="63"/>
      <c r="AI10" s="52"/>
      <c r="AJ10" s="60"/>
      <c r="AK10" s="63"/>
      <c r="AL10" s="65"/>
      <c r="AM10" s="60"/>
      <c r="AN10" s="63"/>
      <c r="AO10" s="52"/>
      <c r="AP10" s="60"/>
      <c r="AQ10" s="63"/>
      <c r="AR10" s="139"/>
      <c r="AS10" s="48" t="s">
        <v>10</v>
      </c>
      <c r="AT10" s="60"/>
      <c r="AU10" s="63"/>
      <c r="AV10" s="51"/>
      <c r="AW10" s="67"/>
      <c r="AX10" s="68"/>
      <c r="AY10" s="64"/>
      <c r="AZ10" s="62"/>
      <c r="BA10" s="63"/>
      <c r="BB10" s="52"/>
      <c r="BC10" s="60"/>
      <c r="BD10" s="63"/>
      <c r="BE10" s="52"/>
      <c r="BF10" s="60"/>
      <c r="BG10" s="63"/>
      <c r="BH10" s="52"/>
      <c r="BI10" s="48" t="s">
        <v>10</v>
      </c>
      <c r="BJ10" s="60"/>
      <c r="BK10" s="63"/>
      <c r="BL10" s="52"/>
      <c r="BM10" s="60"/>
      <c r="BN10" s="63"/>
      <c r="BO10" s="64"/>
      <c r="BP10" s="60"/>
      <c r="BQ10" s="63"/>
      <c r="BR10" s="64"/>
      <c r="BS10" s="60"/>
      <c r="BT10" s="63"/>
      <c r="BU10" s="52"/>
      <c r="BV10" s="72" t="s">
        <v>10</v>
      </c>
      <c r="BW10" s="60"/>
      <c r="BX10" s="63"/>
      <c r="BY10" s="65"/>
      <c r="BZ10" s="62"/>
      <c r="CA10" s="63"/>
      <c r="CB10" s="51"/>
      <c r="CC10" s="62"/>
      <c r="CD10" s="63"/>
      <c r="CE10" s="51"/>
      <c r="CF10" s="277">
        <f>C10+F10+I10+L10+P10+AM10+AP10+AZ10+BC10+BF10+BJ10+BM10+BP10+BS10+BZ10+CC10+S10+Y10+AD10</f>
        <v>0</v>
      </c>
      <c r="CG10" s="741">
        <f>D10+G10+J10+M10+Q10+AN10+AQ10+BA10+BD10+BG10+BK10+BN10+BQ10+BT10+CA10+CD10+T10+Z10+AE10+AX10</f>
        <v>0</v>
      </c>
      <c r="CH10" s="64" t="e">
        <f t="shared" si="0"/>
        <v>#DIV/0!</v>
      </c>
      <c r="CI10" s="1"/>
    </row>
    <row r="11" spans="1:87" ht="20.25">
      <c r="A11" s="48" t="s">
        <v>11</v>
      </c>
      <c r="B11" s="48" t="s">
        <v>12</v>
      </c>
      <c r="C11" s="60"/>
      <c r="D11" s="70"/>
      <c r="E11" s="64"/>
      <c r="F11" s="62"/>
      <c r="G11" s="63"/>
      <c r="H11" s="52"/>
      <c r="I11" s="60"/>
      <c r="J11" s="63"/>
      <c r="K11" s="70" t="e">
        <f>(J11/I11)*100</f>
        <v>#DIV/0!</v>
      </c>
      <c r="L11" s="60"/>
      <c r="M11" s="63"/>
      <c r="N11" s="64"/>
      <c r="O11" s="131" t="s">
        <v>12</v>
      </c>
      <c r="P11" s="62"/>
      <c r="Q11" s="63"/>
      <c r="R11" s="52"/>
      <c r="S11" s="60"/>
      <c r="T11" s="63"/>
      <c r="U11" s="64"/>
      <c r="V11" s="62"/>
      <c r="W11" s="63"/>
      <c r="X11" s="52"/>
      <c r="Y11" s="60"/>
      <c r="Z11" s="63"/>
      <c r="AA11" s="65"/>
      <c r="AB11" s="60"/>
      <c r="AC11" s="52"/>
      <c r="AD11" s="60"/>
      <c r="AE11" s="68"/>
      <c r="AF11" s="52"/>
      <c r="AG11" s="60"/>
      <c r="AH11" s="63"/>
      <c r="AI11" s="52"/>
      <c r="AJ11" s="60"/>
      <c r="AK11" s="63"/>
      <c r="AL11" s="65"/>
      <c r="AM11" s="60"/>
      <c r="AN11" s="63"/>
      <c r="AO11" s="52"/>
      <c r="AP11" s="60"/>
      <c r="AQ11" s="63"/>
      <c r="AR11" s="139"/>
      <c r="AS11" s="48" t="s">
        <v>12</v>
      </c>
      <c r="AT11" s="60"/>
      <c r="AU11" s="63"/>
      <c r="AV11" s="51"/>
      <c r="AW11" s="67"/>
      <c r="AX11" s="68"/>
      <c r="AY11" s="64"/>
      <c r="AZ11" s="62"/>
      <c r="BA11" s="63"/>
      <c r="BB11" s="52"/>
      <c r="BC11" s="60"/>
      <c r="BD11" s="63"/>
      <c r="BE11" s="52"/>
      <c r="BF11" s="60"/>
      <c r="BG11" s="63"/>
      <c r="BH11" s="52"/>
      <c r="BI11" s="48" t="s">
        <v>12</v>
      </c>
      <c r="BJ11" s="60"/>
      <c r="BK11" s="63"/>
      <c r="BL11" s="52"/>
      <c r="BM11" s="60"/>
      <c r="BN11" s="63"/>
      <c r="BO11" s="64"/>
      <c r="BP11" s="60"/>
      <c r="BQ11" s="63"/>
      <c r="BR11" s="64"/>
      <c r="BS11" s="60"/>
      <c r="BT11" s="68"/>
      <c r="BU11" s="52"/>
      <c r="BV11" s="72" t="s">
        <v>12</v>
      </c>
      <c r="BW11" s="60"/>
      <c r="BX11" s="63"/>
      <c r="BY11" s="65"/>
      <c r="BZ11" s="62"/>
      <c r="CA11" s="63"/>
      <c r="CB11" s="51"/>
      <c r="CC11" s="62"/>
      <c r="CD11" s="63"/>
      <c r="CE11" s="51"/>
      <c r="CF11" s="277">
        <f>C11+F11+I11+L11+P11+AM11+AP11+AZ11+BC11+BF11+BJ11+BM11+BP11+BS11+BZ11+CC11+S11+Y11+AD11</f>
        <v>0</v>
      </c>
      <c r="CG11" s="741">
        <f>D11+G11+J11+M11+Q11+AN11+AQ11+BA11+BD11+BG11+BK11+BN11+BQ11+BT11+CA11+CD11+T11+Z11+AE11+AX11</f>
        <v>0</v>
      </c>
      <c r="CH11" s="64" t="e">
        <f t="shared" si="0"/>
        <v>#DIV/0!</v>
      </c>
      <c r="CI11" s="1"/>
    </row>
    <row r="12" spans="1:87" ht="20.25">
      <c r="A12" s="48" t="s">
        <v>13</v>
      </c>
      <c r="B12" s="48" t="s">
        <v>14</v>
      </c>
      <c r="C12" s="60"/>
      <c r="D12" s="70"/>
      <c r="E12" s="64"/>
      <c r="F12" s="62"/>
      <c r="G12" s="63"/>
      <c r="H12" s="52"/>
      <c r="I12" s="60"/>
      <c r="J12" s="68"/>
      <c r="K12" s="51"/>
      <c r="L12" s="60"/>
      <c r="M12" s="63"/>
      <c r="N12" s="64"/>
      <c r="O12" s="131" t="s">
        <v>14</v>
      </c>
      <c r="P12" s="62"/>
      <c r="Q12" s="63"/>
      <c r="R12" s="52"/>
      <c r="S12" s="60"/>
      <c r="T12" s="63"/>
      <c r="U12" s="64"/>
      <c r="V12" s="62"/>
      <c r="W12" s="63"/>
      <c r="X12" s="52"/>
      <c r="Y12" s="60"/>
      <c r="Z12" s="63"/>
      <c r="AA12" s="65"/>
      <c r="AB12" s="60"/>
      <c r="AC12" s="52"/>
      <c r="AD12" s="50"/>
      <c r="AE12" s="68"/>
      <c r="AF12" s="52"/>
      <c r="AG12" s="60"/>
      <c r="AH12" s="63"/>
      <c r="AI12" s="52"/>
      <c r="AJ12" s="60"/>
      <c r="AK12" s="63"/>
      <c r="AL12" s="65"/>
      <c r="AM12" s="60"/>
      <c r="AN12" s="63"/>
      <c r="AO12" s="52"/>
      <c r="AP12" s="60"/>
      <c r="AQ12" s="63"/>
      <c r="AR12" s="139"/>
      <c r="AS12" s="48" t="s">
        <v>14</v>
      </c>
      <c r="AT12" s="60"/>
      <c r="AU12" s="63"/>
      <c r="AV12" s="51"/>
      <c r="AW12" s="67"/>
      <c r="AX12" s="68"/>
      <c r="AY12" s="64"/>
      <c r="AZ12" s="62"/>
      <c r="BA12" s="63"/>
      <c r="BB12" s="52"/>
      <c r="BC12" s="60"/>
      <c r="BD12" s="63"/>
      <c r="BE12" s="52"/>
      <c r="BF12" s="60"/>
      <c r="BG12" s="63"/>
      <c r="BH12" s="52"/>
      <c r="BI12" s="48" t="s">
        <v>14</v>
      </c>
      <c r="BJ12" s="60"/>
      <c r="BK12" s="63"/>
      <c r="BL12" s="52"/>
      <c r="BM12" s="60"/>
      <c r="BN12" s="63"/>
      <c r="BO12" s="64"/>
      <c r="BP12" s="60"/>
      <c r="BQ12" s="63"/>
      <c r="BR12" s="64"/>
      <c r="BS12" s="60"/>
      <c r="BT12" s="63"/>
      <c r="BU12" s="52"/>
      <c r="BV12" s="72" t="s">
        <v>14</v>
      </c>
      <c r="BW12" s="60"/>
      <c r="BX12" s="63"/>
      <c r="BY12" s="65"/>
      <c r="BZ12" s="62"/>
      <c r="CA12" s="63"/>
      <c r="CB12" s="51"/>
      <c r="CC12" s="62"/>
      <c r="CD12" s="63"/>
      <c r="CE12" s="51"/>
      <c r="CF12" s="277">
        <f>C12+F12+I12+L12+P12+AM12+AP12+AZ12+BC12+BF12+BJ12+BM12+BP12+BS12+BZ12+CC12+S12+Y12</f>
        <v>0</v>
      </c>
      <c r="CG12" s="741">
        <f>D12+G12+J12+M12+Q12+AN12+AQ12+BA12+BD12+BG12+BK12+BN12+BQ12+BT12+CA12+CD12+T12+Z12+AE12+AX12</f>
        <v>0</v>
      </c>
      <c r="CH12" s="64" t="e">
        <f t="shared" si="0"/>
        <v>#DIV/0!</v>
      </c>
      <c r="CI12" s="1"/>
    </row>
    <row r="13" spans="1:87" ht="20.25">
      <c r="A13" s="48" t="s">
        <v>15</v>
      </c>
      <c r="B13" s="48" t="s">
        <v>18</v>
      </c>
      <c r="C13" s="60"/>
      <c r="D13" s="70"/>
      <c r="E13" s="64"/>
      <c r="F13" s="62"/>
      <c r="G13" s="431">
        <v>3.82</v>
      </c>
      <c r="H13" s="52"/>
      <c r="I13" s="60"/>
      <c r="J13" s="63"/>
      <c r="K13" s="51"/>
      <c r="L13" s="60"/>
      <c r="M13" s="63"/>
      <c r="N13" s="64"/>
      <c r="O13" s="131" t="s">
        <v>18</v>
      </c>
      <c r="P13" s="62"/>
      <c r="Q13" s="63"/>
      <c r="R13" s="52"/>
      <c r="S13" s="60"/>
      <c r="T13" s="63"/>
      <c r="U13" s="64"/>
      <c r="V13" s="62"/>
      <c r="W13" s="63"/>
      <c r="X13" s="52"/>
      <c r="Y13" s="60"/>
      <c r="Z13" s="63"/>
      <c r="AA13" s="65"/>
      <c r="AB13" s="60"/>
      <c r="AC13" s="52"/>
      <c r="AD13" s="60">
        <v>70</v>
      </c>
      <c r="AE13" s="68">
        <v>5.4595</v>
      </c>
      <c r="AF13" s="52">
        <f>(AE13/AD13)*100</f>
        <v>7.799285714285714</v>
      </c>
      <c r="AG13" s="60"/>
      <c r="AH13" s="63"/>
      <c r="AI13" s="52"/>
      <c r="AJ13" s="60"/>
      <c r="AK13" s="63"/>
      <c r="AL13" s="65"/>
      <c r="AM13" s="60"/>
      <c r="AN13" s="63"/>
      <c r="AO13" s="52"/>
      <c r="AP13" s="60"/>
      <c r="AQ13" s="63"/>
      <c r="AR13" s="139"/>
      <c r="AS13" s="48" t="s">
        <v>18</v>
      </c>
      <c r="AT13" s="60"/>
      <c r="AU13" s="68"/>
      <c r="AV13" s="51"/>
      <c r="AW13" s="67"/>
      <c r="AX13" s="68"/>
      <c r="AY13" s="64"/>
      <c r="AZ13" s="62"/>
      <c r="BA13" s="63"/>
      <c r="BB13" s="52"/>
      <c r="BC13" s="60"/>
      <c r="BD13" s="63"/>
      <c r="BE13" s="52"/>
      <c r="BF13" s="60"/>
      <c r="BG13" s="63"/>
      <c r="BH13" s="52"/>
      <c r="BI13" s="48" t="s">
        <v>18</v>
      </c>
      <c r="BJ13" s="60"/>
      <c r="BK13" s="63"/>
      <c r="BL13" s="52"/>
      <c r="BM13" s="60"/>
      <c r="BN13" s="63"/>
      <c r="BO13" s="64"/>
      <c r="BP13" s="60"/>
      <c r="BQ13" s="63"/>
      <c r="BR13" s="75"/>
      <c r="BS13" s="60"/>
      <c r="BT13" s="63"/>
      <c r="BU13" s="52"/>
      <c r="BV13" s="72" t="s">
        <v>18</v>
      </c>
      <c r="BW13" s="60"/>
      <c r="BX13" s="63"/>
      <c r="BY13" s="65"/>
      <c r="BZ13" s="62"/>
      <c r="CA13" s="63"/>
      <c r="CB13" s="51"/>
      <c r="CC13" s="62"/>
      <c r="CD13" s="63"/>
      <c r="CE13" s="51"/>
      <c r="CF13" s="277">
        <f>C13+F13+I13+L13+P13+AM13+AP13+AZ13+BC13+BF13+BJ13+BM13+BP13+BS13+BZ13+CC13+S13+Y13+AD13</f>
        <v>70</v>
      </c>
      <c r="CG13" s="741">
        <f>D13+G13+J13+M13+Q13+AN13+AQ13+BA13+BD13+BG13+BK13+BN13+BQ13+BT13+CA13+CD13+T13+Z13+AE13+AX13</f>
        <v>9.2795</v>
      </c>
      <c r="CH13" s="64">
        <f t="shared" si="0"/>
        <v>13.256428571428572</v>
      </c>
      <c r="CI13" s="1"/>
    </row>
    <row r="14" spans="1:87" ht="20.25">
      <c r="A14" s="48" t="s">
        <v>16</v>
      </c>
      <c r="B14" s="48" t="s">
        <v>19</v>
      </c>
      <c r="C14" s="60"/>
      <c r="D14" s="70"/>
      <c r="E14" s="64"/>
      <c r="F14" s="62"/>
      <c r="G14" s="431"/>
      <c r="H14" s="52"/>
      <c r="I14" s="60"/>
      <c r="J14" s="63"/>
      <c r="K14" s="51"/>
      <c r="L14" s="60"/>
      <c r="M14" s="63"/>
      <c r="N14" s="64"/>
      <c r="O14" s="131" t="s">
        <v>19</v>
      </c>
      <c r="P14" s="62"/>
      <c r="Q14" s="63"/>
      <c r="R14" s="52"/>
      <c r="S14" s="60"/>
      <c r="T14" s="63"/>
      <c r="U14" s="64"/>
      <c r="V14" s="62"/>
      <c r="W14" s="63"/>
      <c r="X14" s="52"/>
      <c r="Y14" s="60"/>
      <c r="Z14" s="63"/>
      <c r="AA14" s="65"/>
      <c r="AB14" s="60"/>
      <c r="AC14" s="52"/>
      <c r="AD14" s="60"/>
      <c r="AE14" s="68"/>
      <c r="AF14" s="52"/>
      <c r="AG14" s="60"/>
      <c r="AH14" s="63"/>
      <c r="AI14" s="52"/>
      <c r="AJ14" s="60"/>
      <c r="AK14" s="63"/>
      <c r="AL14" s="65"/>
      <c r="AM14" s="60"/>
      <c r="AN14" s="63"/>
      <c r="AO14" s="52"/>
      <c r="AP14" s="60"/>
      <c r="AQ14" s="63"/>
      <c r="AR14" s="139"/>
      <c r="AS14" s="48" t="s">
        <v>19</v>
      </c>
      <c r="AT14" s="60"/>
      <c r="AU14" s="63"/>
      <c r="AV14" s="51"/>
      <c r="AW14" s="67"/>
      <c r="AX14" s="68">
        <v>2.00405</v>
      </c>
      <c r="AY14" s="64"/>
      <c r="AZ14" s="62"/>
      <c r="BA14" s="63"/>
      <c r="BB14" s="52"/>
      <c r="BC14" s="60"/>
      <c r="BD14" s="63"/>
      <c r="BE14" s="52"/>
      <c r="BF14" s="60"/>
      <c r="BG14" s="63"/>
      <c r="BH14" s="52"/>
      <c r="BI14" s="48" t="s">
        <v>19</v>
      </c>
      <c r="BJ14" s="60"/>
      <c r="BK14" s="63"/>
      <c r="BL14" s="52"/>
      <c r="BM14" s="60"/>
      <c r="BN14" s="63"/>
      <c r="BO14" s="64"/>
      <c r="BP14" s="60"/>
      <c r="BQ14" s="63"/>
      <c r="BR14" s="64"/>
      <c r="BS14" s="60"/>
      <c r="BT14" s="63"/>
      <c r="BU14" s="52"/>
      <c r="BV14" s="72" t="s">
        <v>19</v>
      </c>
      <c r="BW14" s="60"/>
      <c r="BX14" s="63"/>
      <c r="BY14" s="65"/>
      <c r="BZ14" s="62"/>
      <c r="CA14" s="63"/>
      <c r="CB14" s="51"/>
      <c r="CC14" s="62"/>
      <c r="CD14" s="63"/>
      <c r="CE14" s="51"/>
      <c r="CF14" s="277">
        <f>C14+F14+I14+L14+P14+AM14+AP14+AZ14+BC14+BF14+BJ14+BM14+BP14+BS14+BZ14+CC14+S14+Y14+AD14</f>
        <v>0</v>
      </c>
      <c r="CG14" s="741">
        <f>D14+G14+J14+M14+Q14+AN14+AQ14+BA14+BD14+BG14+BK14+BN14+BQ14+BT14+CA14+CD14+T14+Z14+AE14+AX14</f>
        <v>2.00405</v>
      </c>
      <c r="CH14" s="64" t="e">
        <f t="shared" si="0"/>
        <v>#DIV/0!</v>
      </c>
      <c r="CI14" s="1"/>
    </row>
    <row r="15" spans="1:87" ht="20.25">
      <c r="A15" s="48" t="s">
        <v>17</v>
      </c>
      <c r="B15" s="48" t="s">
        <v>20</v>
      </c>
      <c r="C15" s="60"/>
      <c r="D15" s="70"/>
      <c r="E15" s="64"/>
      <c r="F15" s="62"/>
      <c r="G15" s="431"/>
      <c r="H15" s="52"/>
      <c r="I15" s="60"/>
      <c r="J15" s="63"/>
      <c r="K15" s="51"/>
      <c r="L15" s="60"/>
      <c r="M15" s="63"/>
      <c r="N15" s="64"/>
      <c r="O15" s="131" t="s">
        <v>20</v>
      </c>
      <c r="P15" s="62"/>
      <c r="Q15" s="63"/>
      <c r="R15" s="52"/>
      <c r="S15" s="60"/>
      <c r="T15" s="63"/>
      <c r="U15" s="64"/>
      <c r="V15" s="62"/>
      <c r="W15" s="63"/>
      <c r="X15" s="52"/>
      <c r="Y15" s="60"/>
      <c r="Z15" s="63"/>
      <c r="AA15" s="65"/>
      <c r="AB15" s="60"/>
      <c r="AC15" s="52"/>
      <c r="AD15" s="60"/>
      <c r="AE15" s="68"/>
      <c r="AF15" s="52"/>
      <c r="AG15" s="60"/>
      <c r="AH15" s="63"/>
      <c r="AI15" s="52"/>
      <c r="AJ15" s="60"/>
      <c r="AK15" s="63"/>
      <c r="AL15" s="65"/>
      <c r="AM15" s="60"/>
      <c r="AN15" s="63"/>
      <c r="AO15" s="52"/>
      <c r="AP15" s="60"/>
      <c r="AQ15" s="63"/>
      <c r="AR15" s="140"/>
      <c r="AS15" s="48" t="s">
        <v>20</v>
      </c>
      <c r="AT15" s="60"/>
      <c r="AU15" s="63"/>
      <c r="AV15" s="51"/>
      <c r="AW15" s="67"/>
      <c r="AX15" s="68"/>
      <c r="AY15" s="64"/>
      <c r="AZ15" s="62"/>
      <c r="BA15" s="63"/>
      <c r="BB15" s="52"/>
      <c r="BC15" s="60"/>
      <c r="BD15" s="63"/>
      <c r="BE15" s="52"/>
      <c r="BF15" s="60"/>
      <c r="BG15" s="63"/>
      <c r="BH15" s="52"/>
      <c r="BI15" s="48" t="s">
        <v>20</v>
      </c>
      <c r="BJ15" s="60"/>
      <c r="BK15" s="63"/>
      <c r="BL15" s="52"/>
      <c r="BM15" s="60"/>
      <c r="BN15" s="63"/>
      <c r="BO15" s="64"/>
      <c r="BP15" s="60"/>
      <c r="BQ15" s="63"/>
      <c r="BR15" s="64"/>
      <c r="BS15" s="60"/>
      <c r="BT15" s="63"/>
      <c r="BU15" s="52"/>
      <c r="BV15" s="72" t="s">
        <v>20</v>
      </c>
      <c r="BW15" s="60"/>
      <c r="BX15" s="63"/>
      <c r="BY15" s="65"/>
      <c r="BZ15" s="62"/>
      <c r="CA15" s="63"/>
      <c r="CB15" s="51"/>
      <c r="CC15" s="62"/>
      <c r="CD15" s="63"/>
      <c r="CE15" s="51"/>
      <c r="CF15" s="277">
        <f>C15+F15+I15+L15+P15+AM15+AP15+AZ15+BC15+BF15+BJ15+BM15+BP15+BS15+BZ15+CC15+S15+Y15+AD15</f>
        <v>0</v>
      </c>
      <c r="CG15" s="741">
        <f>D15+G15+J15+M15+Q15+AN15+AQ15+BA15+BD15+BG15+BK15+BN15+BQ15+BT15+CA15+CD15+T15+Z15+AE15+AX15</f>
        <v>0</v>
      </c>
      <c r="CH15" s="64" t="e">
        <f t="shared" si="0"/>
        <v>#DIV/0!</v>
      </c>
      <c r="CI15" s="1"/>
    </row>
    <row r="16" spans="1:87" ht="20.25">
      <c r="A16" s="48" t="s">
        <v>21</v>
      </c>
      <c r="B16" s="48" t="s">
        <v>30</v>
      </c>
      <c r="C16" s="67"/>
      <c r="D16" s="70"/>
      <c r="E16" s="64"/>
      <c r="F16" s="62"/>
      <c r="G16" s="431"/>
      <c r="H16" s="52"/>
      <c r="I16" s="67"/>
      <c r="J16" s="63"/>
      <c r="K16" s="51"/>
      <c r="L16" s="60"/>
      <c r="M16" s="63"/>
      <c r="N16" s="64"/>
      <c r="O16" s="131" t="s">
        <v>30</v>
      </c>
      <c r="P16" s="62"/>
      <c r="Q16" s="63"/>
      <c r="R16" s="52"/>
      <c r="S16" s="60"/>
      <c r="T16" s="63"/>
      <c r="U16" s="64"/>
      <c r="V16" s="62"/>
      <c r="W16" s="63"/>
      <c r="X16" s="52"/>
      <c r="Y16" s="60"/>
      <c r="Z16" s="63"/>
      <c r="AA16" s="65"/>
      <c r="AB16" s="60"/>
      <c r="AC16" s="52"/>
      <c r="AD16" s="60"/>
      <c r="AE16" s="68"/>
      <c r="AF16" s="52"/>
      <c r="AG16" s="60"/>
      <c r="AH16" s="63"/>
      <c r="AI16" s="52"/>
      <c r="AJ16" s="60"/>
      <c r="AK16" s="63"/>
      <c r="AL16" s="65"/>
      <c r="AM16" s="60"/>
      <c r="AN16" s="63"/>
      <c r="AO16" s="52"/>
      <c r="AP16" s="60"/>
      <c r="AQ16" s="54"/>
      <c r="AR16" s="139"/>
      <c r="AS16" s="48" t="s">
        <v>30</v>
      </c>
      <c r="AT16" s="60"/>
      <c r="AU16" s="63"/>
      <c r="AV16" s="51"/>
      <c r="AW16" s="67"/>
      <c r="AX16" s="68">
        <v>1.75556</v>
      </c>
      <c r="AY16" s="64"/>
      <c r="AZ16" s="62"/>
      <c r="BA16" s="63"/>
      <c r="BB16" s="52"/>
      <c r="BC16" s="60"/>
      <c r="BD16" s="63"/>
      <c r="BE16" s="52"/>
      <c r="BF16" s="60"/>
      <c r="BG16" s="63"/>
      <c r="BH16" s="52"/>
      <c r="BI16" s="48" t="s">
        <v>30</v>
      </c>
      <c r="BJ16" s="60"/>
      <c r="BK16" s="63"/>
      <c r="BL16" s="52"/>
      <c r="BM16" s="60"/>
      <c r="BN16" s="63"/>
      <c r="BO16" s="64"/>
      <c r="BP16" s="60"/>
      <c r="BQ16" s="63"/>
      <c r="BR16" s="64"/>
      <c r="BS16" s="60"/>
      <c r="BT16" s="63"/>
      <c r="BU16" s="52"/>
      <c r="BV16" s="72" t="s">
        <v>30</v>
      </c>
      <c r="BW16" s="60"/>
      <c r="BX16" s="63"/>
      <c r="BY16" s="65"/>
      <c r="BZ16" s="62"/>
      <c r="CA16" s="63"/>
      <c r="CB16" s="51"/>
      <c r="CC16" s="62"/>
      <c r="CD16" s="63"/>
      <c r="CE16" s="51"/>
      <c r="CF16" s="277">
        <f>C16+F16+I16+L16+P16+AM16+AP16+AZ16+BC16+BF16+BJ16+BM16+BP16+BS16+BZ16+CC16+S16+Y16+AD16</f>
        <v>0</v>
      </c>
      <c r="CG16" s="741">
        <f>D16+G16+J16+M16+Q16+AN16+AQ16+BA16+BD16+BG16+BK16+BN16+BQ16+BT16+CA16+CD16+T16+Z16+AE16+AX16</f>
        <v>1.75556</v>
      </c>
      <c r="CH16" s="64" t="e">
        <f t="shared" si="0"/>
        <v>#DIV/0!</v>
      </c>
      <c r="CI16" s="1"/>
    </row>
    <row r="17" spans="1:87" ht="20.25">
      <c r="A17" s="48" t="s">
        <v>22</v>
      </c>
      <c r="B17" s="48" t="s">
        <v>31</v>
      </c>
      <c r="C17" s="60"/>
      <c r="D17" s="70"/>
      <c r="E17" s="64"/>
      <c r="F17" s="62"/>
      <c r="G17" s="431"/>
      <c r="H17" s="52"/>
      <c r="I17" s="60"/>
      <c r="J17" s="63"/>
      <c r="K17" s="51"/>
      <c r="L17" s="60"/>
      <c r="M17" s="63"/>
      <c r="N17" s="64"/>
      <c r="O17" s="131" t="s">
        <v>31</v>
      </c>
      <c r="P17" s="62"/>
      <c r="Q17" s="68"/>
      <c r="R17" s="52"/>
      <c r="S17" s="60"/>
      <c r="T17" s="63"/>
      <c r="U17" s="64"/>
      <c r="V17" s="62"/>
      <c r="W17" s="63"/>
      <c r="X17" s="52"/>
      <c r="Y17" s="60"/>
      <c r="Z17" s="63"/>
      <c r="AA17" s="65"/>
      <c r="AB17" s="60"/>
      <c r="AC17" s="52"/>
      <c r="AD17" s="60"/>
      <c r="AE17" s="68"/>
      <c r="AF17" s="52"/>
      <c r="AG17" s="60"/>
      <c r="AH17" s="63"/>
      <c r="AI17" s="52"/>
      <c r="AJ17" s="60"/>
      <c r="AK17" s="63"/>
      <c r="AL17" s="65"/>
      <c r="AM17" s="60"/>
      <c r="AN17" s="63"/>
      <c r="AO17" s="52"/>
      <c r="AP17" s="60"/>
      <c r="AQ17" s="63"/>
      <c r="AR17" s="139"/>
      <c r="AS17" s="48" t="s">
        <v>31</v>
      </c>
      <c r="AT17" s="60"/>
      <c r="AU17" s="63"/>
      <c r="AV17" s="51"/>
      <c r="AW17" s="67"/>
      <c r="AX17" s="68">
        <v>3.75883</v>
      </c>
      <c r="AY17" s="64"/>
      <c r="AZ17" s="62"/>
      <c r="BA17" s="63"/>
      <c r="BB17" s="52"/>
      <c r="BC17" s="60"/>
      <c r="BD17" s="63"/>
      <c r="BE17" s="52"/>
      <c r="BF17" s="60"/>
      <c r="BG17" s="63"/>
      <c r="BH17" s="52"/>
      <c r="BI17" s="48" t="s">
        <v>31</v>
      </c>
      <c r="BJ17" s="60"/>
      <c r="BK17" s="63"/>
      <c r="BL17" s="52"/>
      <c r="BM17" s="60"/>
      <c r="BN17" s="63"/>
      <c r="BO17" s="64"/>
      <c r="BP17" s="60"/>
      <c r="BQ17" s="63"/>
      <c r="BR17" s="64"/>
      <c r="BS17" s="60"/>
      <c r="BT17" s="63"/>
      <c r="BU17" s="52"/>
      <c r="BV17" s="72" t="s">
        <v>31</v>
      </c>
      <c r="BW17" s="60"/>
      <c r="BX17" s="63"/>
      <c r="BY17" s="65"/>
      <c r="BZ17" s="62"/>
      <c r="CA17" s="63"/>
      <c r="CB17" s="51"/>
      <c r="CC17" s="62"/>
      <c r="CD17" s="63"/>
      <c r="CE17" s="51"/>
      <c r="CF17" s="277">
        <f>C17+F17+I17+L17+P17+AM17+AP17+AZ17+BC17+BF17+BJ17+BM17+BP17+BS17+BZ17+CC17+S17+Y17+AD17</f>
        <v>0</v>
      </c>
      <c r="CG17" s="741">
        <f>D17+G17+J17+M17+Q17+AN17+AQ17+BA17+BD17+BG17+BK17+BN17+BQ17+BT17+CA17+CD17+T17+Z17+AE17+AX17</f>
        <v>3.75883</v>
      </c>
      <c r="CH17" s="64" t="e">
        <f t="shared" si="0"/>
        <v>#DIV/0!</v>
      </c>
      <c r="CI17" s="1"/>
    </row>
    <row r="18" spans="1:87" ht="20.25">
      <c r="A18" s="48" t="s">
        <v>23</v>
      </c>
      <c r="B18" s="48" t="s">
        <v>32</v>
      </c>
      <c r="C18" s="60"/>
      <c r="D18" s="70"/>
      <c r="E18" s="64"/>
      <c r="F18" s="62"/>
      <c r="G18" s="431"/>
      <c r="H18" s="52"/>
      <c r="I18" s="60"/>
      <c r="J18" s="68"/>
      <c r="K18" s="51"/>
      <c r="L18" s="60"/>
      <c r="M18" s="63"/>
      <c r="N18" s="64"/>
      <c r="O18" s="131" t="s">
        <v>32</v>
      </c>
      <c r="P18" s="62"/>
      <c r="Q18" s="63"/>
      <c r="R18" s="52"/>
      <c r="S18" s="60"/>
      <c r="T18" s="63"/>
      <c r="U18" s="64"/>
      <c r="V18" s="62"/>
      <c r="W18" s="63"/>
      <c r="X18" s="52"/>
      <c r="Y18" s="60"/>
      <c r="Z18" s="63"/>
      <c r="AA18" s="65"/>
      <c r="AB18" s="60"/>
      <c r="AC18" s="52"/>
      <c r="AD18" s="60"/>
      <c r="AE18" s="68"/>
      <c r="AF18" s="52"/>
      <c r="AG18" s="60"/>
      <c r="AH18" s="63"/>
      <c r="AI18" s="52"/>
      <c r="AJ18" s="60"/>
      <c r="AK18" s="63"/>
      <c r="AL18" s="65"/>
      <c r="AM18" s="60"/>
      <c r="AN18" s="63"/>
      <c r="AO18" s="52"/>
      <c r="AP18" s="60"/>
      <c r="AQ18" s="63"/>
      <c r="AR18" s="139"/>
      <c r="AS18" s="48" t="s">
        <v>32</v>
      </c>
      <c r="AT18" s="60"/>
      <c r="AU18" s="63"/>
      <c r="AV18" s="51"/>
      <c r="AW18" s="67"/>
      <c r="AX18" s="68">
        <v>3.46433</v>
      </c>
      <c r="AY18" s="64"/>
      <c r="AZ18" s="62"/>
      <c r="BA18" s="63"/>
      <c r="BB18" s="52"/>
      <c r="BC18" s="60"/>
      <c r="BD18" s="63"/>
      <c r="BE18" s="52"/>
      <c r="BF18" s="60"/>
      <c r="BG18" s="63"/>
      <c r="BH18" s="52"/>
      <c r="BI18" s="48" t="s">
        <v>32</v>
      </c>
      <c r="BJ18" s="60"/>
      <c r="BK18" s="63"/>
      <c r="BL18" s="52"/>
      <c r="BM18" s="60"/>
      <c r="BN18" s="63"/>
      <c r="BO18" s="64"/>
      <c r="BP18" s="60"/>
      <c r="BQ18" s="63"/>
      <c r="BR18" s="64"/>
      <c r="BS18" s="60"/>
      <c r="BT18" s="68"/>
      <c r="BU18" s="52"/>
      <c r="BV18" s="72" t="s">
        <v>32</v>
      </c>
      <c r="BW18" s="60"/>
      <c r="BX18" s="63"/>
      <c r="BY18" s="65"/>
      <c r="BZ18" s="62"/>
      <c r="CA18" s="63"/>
      <c r="CB18" s="51"/>
      <c r="CC18" s="62"/>
      <c r="CD18" s="63"/>
      <c r="CE18" s="51"/>
      <c r="CF18" s="277">
        <f>C18+F18+I18+L18+P18+AM18+AP18+AZ18+BC18+BF18+BJ18+BM18+BP18+BS18+BZ18+CC18+S18+Y18+AD18</f>
        <v>0</v>
      </c>
      <c r="CG18" s="741">
        <f>D18+G18+J18+M18+Q18+AN18+AQ18+BA18+BD18+BG18+BK18+BN18+BQ18+BT18+CA18+CD18+T18+Z18+AE18+AX18</f>
        <v>3.46433</v>
      </c>
      <c r="CH18" s="64" t="e">
        <f t="shared" si="0"/>
        <v>#DIV/0!</v>
      </c>
      <c r="CI18" s="1"/>
    </row>
    <row r="19" spans="1:87" ht="20.25">
      <c r="A19" s="48" t="s">
        <v>24</v>
      </c>
      <c r="B19" s="48" t="s">
        <v>33</v>
      </c>
      <c r="C19" s="67"/>
      <c r="D19" s="70"/>
      <c r="E19" s="64"/>
      <c r="F19" s="62"/>
      <c r="G19" s="431"/>
      <c r="H19" s="52"/>
      <c r="I19" s="60"/>
      <c r="J19" s="63"/>
      <c r="K19" s="51"/>
      <c r="L19" s="60"/>
      <c r="M19" s="63"/>
      <c r="N19" s="64"/>
      <c r="O19" s="131" t="s">
        <v>33</v>
      </c>
      <c r="P19" s="62"/>
      <c r="Q19" s="63"/>
      <c r="R19" s="52"/>
      <c r="S19" s="60"/>
      <c r="T19" s="63"/>
      <c r="U19" s="64"/>
      <c r="V19" s="62"/>
      <c r="W19" s="63"/>
      <c r="X19" s="52"/>
      <c r="Y19" s="60"/>
      <c r="Z19" s="63"/>
      <c r="AA19" s="65"/>
      <c r="AB19" s="60"/>
      <c r="AC19" s="52"/>
      <c r="AD19" s="60"/>
      <c r="AE19" s="68"/>
      <c r="AF19" s="52"/>
      <c r="AG19" s="60"/>
      <c r="AH19" s="63"/>
      <c r="AI19" s="52"/>
      <c r="AJ19" s="60"/>
      <c r="AK19" s="63"/>
      <c r="AL19" s="65"/>
      <c r="AM19" s="60"/>
      <c r="AN19" s="63"/>
      <c r="AO19" s="52"/>
      <c r="AP19" s="60"/>
      <c r="AQ19" s="63"/>
      <c r="AR19" s="139"/>
      <c r="AS19" s="48" t="s">
        <v>33</v>
      </c>
      <c r="AT19" s="60"/>
      <c r="AU19" s="63"/>
      <c r="AV19" s="51"/>
      <c r="AW19" s="67"/>
      <c r="AX19" s="68"/>
      <c r="AY19" s="64"/>
      <c r="AZ19" s="62"/>
      <c r="BA19" s="63"/>
      <c r="BB19" s="52"/>
      <c r="BC19" s="60"/>
      <c r="BD19" s="63"/>
      <c r="BE19" s="52"/>
      <c r="BF19" s="60"/>
      <c r="BG19" s="63"/>
      <c r="BH19" s="52"/>
      <c r="BI19" s="48" t="s">
        <v>33</v>
      </c>
      <c r="BJ19" s="60"/>
      <c r="BK19" s="63"/>
      <c r="BL19" s="52"/>
      <c r="BM19" s="60"/>
      <c r="BN19" s="63"/>
      <c r="BO19" s="64"/>
      <c r="BP19" s="60"/>
      <c r="BQ19" s="63"/>
      <c r="BR19" s="64"/>
      <c r="BS19" s="60"/>
      <c r="BT19" s="63"/>
      <c r="BU19" s="52"/>
      <c r="BV19" s="72" t="s">
        <v>33</v>
      </c>
      <c r="BW19" s="60"/>
      <c r="BX19" s="63"/>
      <c r="BY19" s="65"/>
      <c r="BZ19" s="62"/>
      <c r="CA19" s="63"/>
      <c r="CB19" s="51"/>
      <c r="CC19" s="62"/>
      <c r="CD19" s="63"/>
      <c r="CE19" s="51"/>
      <c r="CF19" s="277">
        <f>C19+F19+I19+L19+P19+AM19+AP19+AZ19+BC19+BF19+BJ19+BM19+BP19+BS19+BZ19+CC19+S19+Y19+AD19</f>
        <v>0</v>
      </c>
      <c r="CG19" s="741">
        <f>D19+G19+J19+M19+Q19+AN19+AQ19+BA19+BD19+BG19+BK19+BN19+BQ19+BT19+CA19+CD19+T19+Z19+AE19+AX19</f>
        <v>0</v>
      </c>
      <c r="CH19" s="64" t="e">
        <f t="shared" si="0"/>
        <v>#DIV/0!</v>
      </c>
      <c r="CI19" s="1"/>
    </row>
    <row r="20" spans="1:87" ht="20.25">
      <c r="A20" s="48" t="s">
        <v>25</v>
      </c>
      <c r="B20" s="48" t="s">
        <v>34</v>
      </c>
      <c r="C20" s="67"/>
      <c r="D20" s="70"/>
      <c r="E20" s="64"/>
      <c r="F20" s="62"/>
      <c r="G20" s="431"/>
      <c r="H20" s="52"/>
      <c r="I20" s="60"/>
      <c r="J20" s="63"/>
      <c r="K20" s="51"/>
      <c r="L20" s="60"/>
      <c r="M20" s="63"/>
      <c r="N20" s="64"/>
      <c r="O20" s="131" t="s">
        <v>34</v>
      </c>
      <c r="P20" s="62"/>
      <c r="Q20" s="63"/>
      <c r="R20" s="52"/>
      <c r="S20" s="60"/>
      <c r="T20" s="63"/>
      <c r="U20" s="64"/>
      <c r="V20" s="62"/>
      <c r="W20" s="63"/>
      <c r="X20" s="52"/>
      <c r="Y20" s="60"/>
      <c r="Z20" s="63"/>
      <c r="AA20" s="65"/>
      <c r="AB20" s="60"/>
      <c r="AC20" s="52"/>
      <c r="AD20" s="60"/>
      <c r="AE20" s="68"/>
      <c r="AF20" s="52"/>
      <c r="AG20" s="60"/>
      <c r="AH20" s="63"/>
      <c r="AI20" s="52"/>
      <c r="AJ20" s="60"/>
      <c r="AK20" s="63"/>
      <c r="AL20" s="65"/>
      <c r="AM20" s="60"/>
      <c r="AN20" s="63"/>
      <c r="AO20" s="52"/>
      <c r="AP20" s="60"/>
      <c r="AQ20" s="63"/>
      <c r="AR20" s="139"/>
      <c r="AS20" s="48" t="s">
        <v>34</v>
      </c>
      <c r="AT20" s="67"/>
      <c r="AU20" s="63"/>
      <c r="AV20" s="51"/>
      <c r="AW20" s="67"/>
      <c r="AX20" s="68"/>
      <c r="AY20" s="64"/>
      <c r="AZ20" s="62"/>
      <c r="BA20" s="63"/>
      <c r="BB20" s="52"/>
      <c r="BC20" s="60"/>
      <c r="BD20" s="63"/>
      <c r="BE20" s="52"/>
      <c r="BF20" s="60"/>
      <c r="BG20" s="63"/>
      <c r="BH20" s="52"/>
      <c r="BI20" s="48" t="s">
        <v>34</v>
      </c>
      <c r="BJ20" s="60"/>
      <c r="BK20" s="63"/>
      <c r="BL20" s="52"/>
      <c r="BM20" s="60"/>
      <c r="BN20" s="63"/>
      <c r="BO20" s="64"/>
      <c r="BP20" s="60"/>
      <c r="BQ20" s="63"/>
      <c r="BR20" s="64"/>
      <c r="BS20" s="60"/>
      <c r="BT20" s="63"/>
      <c r="BU20" s="52"/>
      <c r="BV20" s="72" t="s">
        <v>34</v>
      </c>
      <c r="BW20" s="60"/>
      <c r="BX20" s="63"/>
      <c r="BY20" s="65"/>
      <c r="BZ20" s="62"/>
      <c r="CA20" s="63"/>
      <c r="CB20" s="51"/>
      <c r="CC20" s="62"/>
      <c r="CD20" s="63"/>
      <c r="CE20" s="51"/>
      <c r="CF20" s="277">
        <f>C20+F20+I20+L20+P20+AM20+AP20+AZ20+BC20+BF20+BJ20+BM20+BP20+BS20+BZ20+CC20+S20+Y20+AD20</f>
        <v>0</v>
      </c>
      <c r="CG20" s="741">
        <f>D20+G20+J20+M20+Q20+AN20+AQ20+BA20+BD20+BG20+BK20+BN20+BQ20+BT20+CA20+CD20+T20+Z20+AE20+AX20</f>
        <v>0</v>
      </c>
      <c r="CH20" s="64" t="e">
        <f t="shared" si="0"/>
        <v>#DIV/0!</v>
      </c>
      <c r="CI20" s="1"/>
    </row>
    <row r="21" spans="1:87" ht="20.25">
      <c r="A21" s="48" t="s">
        <v>26</v>
      </c>
      <c r="B21" s="48" t="s">
        <v>35</v>
      </c>
      <c r="C21" s="67"/>
      <c r="D21" s="70"/>
      <c r="E21" s="64"/>
      <c r="F21" s="62"/>
      <c r="G21" s="63"/>
      <c r="H21" s="52"/>
      <c r="I21" s="60"/>
      <c r="J21" s="63"/>
      <c r="K21" s="51"/>
      <c r="L21" s="60"/>
      <c r="M21" s="63"/>
      <c r="N21" s="64"/>
      <c r="O21" s="131" t="s">
        <v>35</v>
      </c>
      <c r="P21" s="62"/>
      <c r="Q21" s="68"/>
      <c r="R21" s="52"/>
      <c r="S21" s="60"/>
      <c r="T21" s="63"/>
      <c r="U21" s="64"/>
      <c r="V21" s="62"/>
      <c r="W21" s="63"/>
      <c r="X21" s="52"/>
      <c r="Y21" s="60"/>
      <c r="Z21" s="63"/>
      <c r="AA21" s="65"/>
      <c r="AB21" s="60"/>
      <c r="AC21" s="52"/>
      <c r="AD21" s="60"/>
      <c r="AE21" s="68">
        <v>2.1</v>
      </c>
      <c r="AF21" s="52"/>
      <c r="AG21" s="60"/>
      <c r="AH21" s="63"/>
      <c r="AI21" s="52"/>
      <c r="AJ21" s="60"/>
      <c r="AK21" s="63"/>
      <c r="AL21" s="65"/>
      <c r="AM21" s="60"/>
      <c r="AN21" s="63"/>
      <c r="AO21" s="52"/>
      <c r="AP21" s="60"/>
      <c r="AQ21" s="63"/>
      <c r="AR21" s="139"/>
      <c r="AS21" s="48" t="s">
        <v>35</v>
      </c>
      <c r="AT21" s="60"/>
      <c r="AU21" s="68"/>
      <c r="AV21" s="51"/>
      <c r="AW21" s="67"/>
      <c r="AX21" s="68">
        <v>2.7112</v>
      </c>
      <c r="AY21" s="64"/>
      <c r="AZ21" s="62"/>
      <c r="BA21" s="63"/>
      <c r="BB21" s="52"/>
      <c r="BC21" s="60"/>
      <c r="BD21" s="63"/>
      <c r="BE21" s="52"/>
      <c r="BF21" s="60"/>
      <c r="BG21" s="63"/>
      <c r="BH21" s="52"/>
      <c r="BI21" s="48" t="s">
        <v>35</v>
      </c>
      <c r="BJ21" s="60"/>
      <c r="BK21" s="63"/>
      <c r="BL21" s="52"/>
      <c r="BM21" s="60"/>
      <c r="BN21" s="63"/>
      <c r="BO21" s="64"/>
      <c r="BP21" s="60"/>
      <c r="BQ21" s="68"/>
      <c r="BR21" s="75"/>
      <c r="BS21" s="60"/>
      <c r="BT21" s="63"/>
      <c r="BU21" s="52"/>
      <c r="BV21" s="72" t="s">
        <v>35</v>
      </c>
      <c r="BW21" s="60"/>
      <c r="BX21" s="63"/>
      <c r="BY21" s="65"/>
      <c r="BZ21" s="62"/>
      <c r="CA21" s="63"/>
      <c r="CB21" s="51"/>
      <c r="CC21" s="62"/>
      <c r="CD21" s="63"/>
      <c r="CE21" s="51"/>
      <c r="CF21" s="277">
        <f>C21+F21+I21+L21+P21+AM21+AP21+AZ21+BC21+BF21+BJ21+BM21+BP21+BS21+BZ21+CC21+S21+Y21+AD21</f>
        <v>0</v>
      </c>
      <c r="CG21" s="741">
        <f>D21+G21+J21+M21+Q21+AN21+AQ21+BA21+BD21+BG21+BK21+BN21+BQ21+BT21+CA21+CD21+T21+Z21+AE21+AX21</f>
        <v>4.8111999999999995</v>
      </c>
      <c r="CH21" s="64" t="e">
        <f t="shared" si="0"/>
        <v>#DIV/0!</v>
      </c>
      <c r="CI21" s="1"/>
    </row>
    <row r="22" spans="1:87" ht="20.25">
      <c r="A22" s="48" t="s">
        <v>27</v>
      </c>
      <c r="B22" s="48" t="s">
        <v>36</v>
      </c>
      <c r="C22" s="60"/>
      <c r="D22" s="70"/>
      <c r="E22" s="64"/>
      <c r="F22" s="62"/>
      <c r="G22" s="63"/>
      <c r="H22" s="52"/>
      <c r="I22" s="60"/>
      <c r="J22" s="63"/>
      <c r="K22" s="51"/>
      <c r="L22" s="60"/>
      <c r="M22" s="63"/>
      <c r="N22" s="64"/>
      <c r="O22" s="131" t="s">
        <v>36</v>
      </c>
      <c r="P22" s="62"/>
      <c r="Q22" s="63"/>
      <c r="R22" s="52"/>
      <c r="S22" s="60"/>
      <c r="T22" s="63"/>
      <c r="U22" s="64"/>
      <c r="V22" s="62"/>
      <c r="W22" s="63"/>
      <c r="X22" s="52"/>
      <c r="Y22" s="60"/>
      <c r="Z22" s="63"/>
      <c r="AA22" s="65"/>
      <c r="AB22" s="60"/>
      <c r="AC22" s="52"/>
      <c r="AD22" s="60"/>
      <c r="AE22" s="68"/>
      <c r="AF22" s="52"/>
      <c r="AG22" s="60"/>
      <c r="AH22" s="63"/>
      <c r="AI22" s="52"/>
      <c r="AJ22" s="60"/>
      <c r="AK22" s="63"/>
      <c r="AL22" s="65"/>
      <c r="AM22" s="60"/>
      <c r="AN22" s="63"/>
      <c r="AO22" s="52"/>
      <c r="AP22" s="60"/>
      <c r="AQ22" s="63"/>
      <c r="AR22" s="139"/>
      <c r="AS22" s="48" t="s">
        <v>36</v>
      </c>
      <c r="AT22" s="60"/>
      <c r="AU22" s="63"/>
      <c r="AV22" s="51"/>
      <c r="AW22" s="67"/>
      <c r="AX22" s="68"/>
      <c r="AY22" s="64"/>
      <c r="AZ22" s="62"/>
      <c r="BA22" s="63"/>
      <c r="BB22" s="52"/>
      <c r="BC22" s="60"/>
      <c r="BD22" s="63"/>
      <c r="BE22" s="52"/>
      <c r="BF22" s="60"/>
      <c r="BG22" s="63"/>
      <c r="BH22" s="52"/>
      <c r="BI22" s="48" t="s">
        <v>36</v>
      </c>
      <c r="BJ22" s="60"/>
      <c r="BK22" s="63"/>
      <c r="BL22" s="52"/>
      <c r="BM22" s="60"/>
      <c r="BN22" s="63"/>
      <c r="BO22" s="64"/>
      <c r="BP22" s="60"/>
      <c r="BQ22" s="63"/>
      <c r="BR22" s="64"/>
      <c r="BS22" s="60"/>
      <c r="BT22" s="63"/>
      <c r="BU22" s="52"/>
      <c r="BV22" s="72" t="s">
        <v>36</v>
      </c>
      <c r="BW22" s="60"/>
      <c r="BX22" s="63"/>
      <c r="BY22" s="65"/>
      <c r="BZ22" s="62"/>
      <c r="CA22" s="63"/>
      <c r="CB22" s="51"/>
      <c r="CC22" s="62"/>
      <c r="CD22" s="63"/>
      <c r="CE22" s="51"/>
      <c r="CF22" s="277">
        <f>C22+F22+I22+L22+P22+AM22+AP22+AZ22+BC22+BF22+BJ22+BM22+BP22+BS22+BZ22+CC22+S22+Y22+AD22</f>
        <v>0</v>
      </c>
      <c r="CG22" s="741">
        <f>D22+G22+J22+M22+Q22+AN22+AQ22+BA22+BD22+BG22+BK22+BN22+BQ22+BT22+CA22+CD22+T22+Z22+AE22+AX22</f>
        <v>0</v>
      </c>
      <c r="CH22" s="64" t="e">
        <f t="shared" si="0"/>
        <v>#DIV/0!</v>
      </c>
      <c r="CI22" s="1"/>
    </row>
    <row r="23" spans="1:87" ht="20.25">
      <c r="A23" s="48" t="s">
        <v>28</v>
      </c>
      <c r="B23" s="48" t="s">
        <v>37</v>
      </c>
      <c r="C23" s="60"/>
      <c r="D23" s="70"/>
      <c r="E23" s="64"/>
      <c r="F23" s="62"/>
      <c r="G23" s="63"/>
      <c r="H23" s="52"/>
      <c r="I23" s="60"/>
      <c r="J23" s="63"/>
      <c r="K23" s="51"/>
      <c r="L23" s="60"/>
      <c r="M23" s="63"/>
      <c r="N23" s="64"/>
      <c r="O23" s="131" t="s">
        <v>37</v>
      </c>
      <c r="P23" s="62"/>
      <c r="Q23" s="68"/>
      <c r="R23" s="52"/>
      <c r="S23" s="60"/>
      <c r="T23" s="54"/>
      <c r="U23" s="64"/>
      <c r="V23" s="62"/>
      <c r="W23" s="63"/>
      <c r="X23" s="52"/>
      <c r="Y23" s="60"/>
      <c r="Z23" s="63"/>
      <c r="AA23" s="65"/>
      <c r="AB23" s="60"/>
      <c r="AC23" s="52"/>
      <c r="AD23" s="60"/>
      <c r="AE23" s="68"/>
      <c r="AF23" s="52" t="e">
        <f>(AE23/AD23)*100</f>
        <v>#DIV/0!</v>
      </c>
      <c r="AG23" s="60"/>
      <c r="AH23" s="63"/>
      <c r="AI23" s="52"/>
      <c r="AJ23" s="60"/>
      <c r="AK23" s="63"/>
      <c r="AL23" s="65"/>
      <c r="AM23" s="60"/>
      <c r="AN23" s="63"/>
      <c r="AO23" s="52"/>
      <c r="AP23" s="60"/>
      <c r="AQ23" s="63"/>
      <c r="AR23" s="141"/>
      <c r="AS23" s="48" t="s">
        <v>37</v>
      </c>
      <c r="AT23" s="60"/>
      <c r="AU23" s="63"/>
      <c r="AV23" s="51"/>
      <c r="AW23" s="67"/>
      <c r="AX23" s="68">
        <v>1.28652</v>
      </c>
      <c r="AY23" s="64"/>
      <c r="AZ23" s="62"/>
      <c r="BA23" s="63"/>
      <c r="BB23" s="52"/>
      <c r="BC23" s="60"/>
      <c r="BD23" s="63"/>
      <c r="BE23" s="52"/>
      <c r="BF23" s="60"/>
      <c r="BG23" s="68"/>
      <c r="BH23" s="52"/>
      <c r="BI23" s="48" t="s">
        <v>37</v>
      </c>
      <c r="BJ23" s="60"/>
      <c r="BK23" s="63"/>
      <c r="BL23" s="52"/>
      <c r="BM23" s="60"/>
      <c r="BN23" s="63"/>
      <c r="BO23" s="64"/>
      <c r="BP23" s="60"/>
      <c r="BQ23" s="63"/>
      <c r="BR23" s="64"/>
      <c r="BS23" s="60"/>
      <c r="BT23" s="63"/>
      <c r="BU23" s="52"/>
      <c r="BV23" s="72" t="s">
        <v>37</v>
      </c>
      <c r="BW23" s="60"/>
      <c r="BX23" s="63"/>
      <c r="BY23" s="65"/>
      <c r="BZ23" s="62"/>
      <c r="CA23" s="63"/>
      <c r="CB23" s="51"/>
      <c r="CC23" s="62"/>
      <c r="CD23" s="63"/>
      <c r="CE23" s="51"/>
      <c r="CF23" s="277">
        <f>C23+F23+I23+L23+P23+AM23+AP23+AZ23+BC23+BF23+BJ23+BM23+BP23+BS23+BZ23+CC23+S23+Y23+AD23</f>
        <v>0</v>
      </c>
      <c r="CG23" s="741">
        <f>D23+G23+J23+M23+Q23+AN23+AQ23+BA23+BD23+BG23+BK23+BN23+BQ23+BT23+CA23+CD23+T23+Z23+AE23+AX23</f>
        <v>1.28652</v>
      </c>
      <c r="CH23" s="64" t="e">
        <f t="shared" si="0"/>
        <v>#DIV/0!</v>
      </c>
      <c r="CI23" s="1"/>
    </row>
    <row r="24" spans="1:87" ht="21" thickBot="1">
      <c r="A24" s="48" t="s">
        <v>29</v>
      </c>
      <c r="B24" s="48" t="s">
        <v>38</v>
      </c>
      <c r="C24" s="73"/>
      <c r="D24" s="154"/>
      <c r="E24" s="80"/>
      <c r="F24" s="76"/>
      <c r="G24" s="432"/>
      <c r="H24" s="75"/>
      <c r="I24" s="78"/>
      <c r="J24" s="79"/>
      <c r="K24" s="86"/>
      <c r="L24" s="78"/>
      <c r="M24" s="79"/>
      <c r="N24" s="80"/>
      <c r="O24" s="131" t="s">
        <v>38</v>
      </c>
      <c r="P24" s="76"/>
      <c r="Q24" s="77"/>
      <c r="R24" s="75"/>
      <c r="S24" s="78"/>
      <c r="T24" s="79"/>
      <c r="U24" s="81"/>
      <c r="V24" s="76"/>
      <c r="W24" s="77"/>
      <c r="X24" s="75"/>
      <c r="Y24" s="73"/>
      <c r="Z24" s="77"/>
      <c r="AA24" s="82"/>
      <c r="AB24" s="73"/>
      <c r="AC24" s="75"/>
      <c r="AD24" s="73">
        <v>50</v>
      </c>
      <c r="AE24" s="85">
        <v>6.32863</v>
      </c>
      <c r="AF24" s="52">
        <f>(AE24/AD24)*100</f>
        <v>12.65726</v>
      </c>
      <c r="AG24" s="73"/>
      <c r="AH24" s="77"/>
      <c r="AI24" s="75"/>
      <c r="AJ24" s="73"/>
      <c r="AK24" s="77"/>
      <c r="AL24" s="82"/>
      <c r="AM24" s="73"/>
      <c r="AN24" s="77"/>
      <c r="AO24" s="75"/>
      <c r="AP24" s="78"/>
      <c r="AQ24" s="79"/>
      <c r="AR24" s="142"/>
      <c r="AS24" s="48" t="s">
        <v>38</v>
      </c>
      <c r="AT24" s="73"/>
      <c r="AU24" s="77"/>
      <c r="AV24" s="51"/>
      <c r="AW24" s="84"/>
      <c r="AX24" s="85"/>
      <c r="AY24" s="181"/>
      <c r="AZ24" s="76"/>
      <c r="BA24" s="77"/>
      <c r="BB24" s="75"/>
      <c r="BC24" s="73"/>
      <c r="BD24" s="77"/>
      <c r="BE24" s="75"/>
      <c r="BF24" s="73"/>
      <c r="BG24" s="77"/>
      <c r="BH24" s="75"/>
      <c r="BI24" s="48" t="s">
        <v>38</v>
      </c>
      <c r="BJ24" s="73"/>
      <c r="BK24" s="77"/>
      <c r="BL24" s="75"/>
      <c r="BM24" s="73"/>
      <c r="BN24" s="77"/>
      <c r="BO24" s="64"/>
      <c r="BP24" s="2"/>
      <c r="BQ24" s="77"/>
      <c r="BR24" s="64"/>
      <c r="BS24" s="73"/>
      <c r="BT24" s="77"/>
      <c r="BU24" s="52"/>
      <c r="BV24" s="72" t="s">
        <v>38</v>
      </c>
      <c r="BW24" s="78"/>
      <c r="BX24" s="79"/>
      <c r="BY24" s="708"/>
      <c r="BZ24" s="76"/>
      <c r="CA24" s="77"/>
      <c r="CB24" s="86"/>
      <c r="CC24" s="76"/>
      <c r="CD24" s="77"/>
      <c r="CE24" s="86"/>
      <c r="CF24" s="277">
        <f>C24+F24+I24+L24+P24+AM24+AP24+AZ24+BC24+BF24+BJ24+BM24+BP24+BS24+BZ24+CC24+S24+Y24+AD24</f>
        <v>50</v>
      </c>
      <c r="CG24" s="741">
        <f>D24+G24+J24+M24+Q24+AN24+AQ24+BA24+BD24+BG24+BK24+BN24+BQ24+BT24+CA24+CD24+T24+Z24+AE24+AX24</f>
        <v>6.32863</v>
      </c>
      <c r="CH24" s="80">
        <f t="shared" si="0"/>
        <v>12.65726</v>
      </c>
      <c r="CI24" s="1"/>
    </row>
    <row r="25" spans="1:86" ht="20.25">
      <c r="A25" s="4"/>
      <c r="B25" s="4" t="s">
        <v>43</v>
      </c>
      <c r="C25" s="87">
        <f>SUM(C6:C24)</f>
        <v>0</v>
      </c>
      <c r="D25" s="309">
        <f>SUM(D6:D24)</f>
        <v>0</v>
      </c>
      <c r="E25" s="51" t="e">
        <f>(D25/C25)*100</f>
        <v>#DIV/0!</v>
      </c>
      <c r="F25" s="87">
        <f>SUM(F6:F24)</f>
        <v>0</v>
      </c>
      <c r="G25" s="430">
        <f>SUM(G6:G24)</f>
        <v>3.82</v>
      </c>
      <c r="H25" s="89" t="e">
        <f>(G25/F25)*100</f>
        <v>#DIV/0!</v>
      </c>
      <c r="I25" s="50">
        <f>SUM(I6:I24)</f>
        <v>0</v>
      </c>
      <c r="J25" s="183">
        <f>SUM(J6:J24)</f>
        <v>0</v>
      </c>
      <c r="K25" s="89" t="e">
        <f>(J25/I25)*100</f>
        <v>#DIV/0!</v>
      </c>
      <c r="L25" s="50">
        <f>SUM(L6:L24)</f>
        <v>0</v>
      </c>
      <c r="M25" s="58">
        <f>SUM(M6:M24)</f>
        <v>0</v>
      </c>
      <c r="N25" s="55" t="e">
        <f>(M25/L25)*100</f>
        <v>#DIV/0!</v>
      </c>
      <c r="O25" s="8" t="s">
        <v>43</v>
      </c>
      <c r="P25" s="87">
        <f>SUM(P6:P24)</f>
        <v>0</v>
      </c>
      <c r="Q25" s="90">
        <f>SUM(Q6:Q24)</f>
        <v>0</v>
      </c>
      <c r="R25" s="95" t="e">
        <f>(Q25/P25)*100</f>
        <v>#DIV/0!</v>
      </c>
      <c r="S25" s="54">
        <f>SUM(S6:S24)</f>
        <v>0</v>
      </c>
      <c r="T25" s="134">
        <f>SUM(T6:T24)</f>
        <v>0</v>
      </c>
      <c r="U25" s="55" t="e">
        <f>(T25/S25)*100</f>
        <v>#DIV/0!</v>
      </c>
      <c r="V25" s="90">
        <f>SUM(V6:V24)</f>
        <v>0</v>
      </c>
      <c r="W25" s="90">
        <f>SUM(W6:W24)</f>
        <v>0</v>
      </c>
      <c r="X25" s="89" t="e">
        <f>(W25/V25)*100</f>
        <v>#DIV/0!</v>
      </c>
      <c r="Y25" s="87">
        <f>SUM(Y6:Y24)</f>
        <v>0</v>
      </c>
      <c r="Z25" s="90">
        <f>SUM(Z6:Z24)</f>
        <v>0</v>
      </c>
      <c r="AA25" s="91"/>
      <c r="AB25" s="87"/>
      <c r="AC25" s="89" t="e">
        <f>Q25/P25*100</f>
        <v>#DIV/0!</v>
      </c>
      <c r="AD25" s="182">
        <f>SUM(AD7:AD24)</f>
        <v>120</v>
      </c>
      <c r="AE25" s="252">
        <f>SUM(AE6:AE24)</f>
        <v>35.198409999999996</v>
      </c>
      <c r="AF25" s="89">
        <f>(AE25/AD25)*100</f>
        <v>29.33200833333333</v>
      </c>
      <c r="AG25" s="87">
        <f>SUM(AG6:AG24)</f>
        <v>0</v>
      </c>
      <c r="AH25" s="90">
        <f>SUM(AH6:AH24)</f>
        <v>0</v>
      </c>
      <c r="AI25" s="89"/>
      <c r="AJ25" s="87">
        <f>SUM(AJ6:AJ24)</f>
        <v>0</v>
      </c>
      <c r="AK25" s="90">
        <f>SUM(AK6:AK24)</f>
        <v>0</v>
      </c>
      <c r="AL25" s="91"/>
      <c r="AM25" s="87">
        <f>SUM(AM6:AM24)</f>
        <v>0</v>
      </c>
      <c r="AN25" s="94">
        <f>SUM(AN6:AN24)</f>
        <v>0</v>
      </c>
      <c r="AO25" s="89"/>
      <c r="AP25" s="50">
        <f>SUM(AP6:AP24)</f>
        <v>0</v>
      </c>
      <c r="AQ25" s="92">
        <f>SUM(AQ6:AQ24)</f>
        <v>0</v>
      </c>
      <c r="AS25" s="4" t="s">
        <v>43</v>
      </c>
      <c r="AT25" s="87">
        <f>SUM(AT6:AT24)</f>
        <v>0</v>
      </c>
      <c r="AU25" s="90">
        <f>SUM(AU6:AU24)</f>
        <v>0</v>
      </c>
      <c r="AV25" s="95" t="e">
        <f>(AU25/AT25)*100</f>
        <v>#DIV/0!</v>
      </c>
      <c r="AW25" s="149">
        <f>SUM(AW6:AW24)</f>
        <v>0</v>
      </c>
      <c r="AX25" s="151">
        <f>SUM(AX6:AX24)</f>
        <v>24.1302</v>
      </c>
      <c r="AY25" s="89" t="e">
        <f>AX25/AW25*100</f>
        <v>#DIV/0!</v>
      </c>
      <c r="AZ25" s="90">
        <f>SUM(AZ6:AZ24)</f>
        <v>0</v>
      </c>
      <c r="BA25" s="90">
        <f>SUM(BA6:BA24)</f>
        <v>0</v>
      </c>
      <c r="BB25" s="89" t="e">
        <f>(BA25/AZ25)*100</f>
        <v>#DIV/0!</v>
      </c>
      <c r="BC25" s="87">
        <f>SUM(BC6:BC24)</f>
        <v>0</v>
      </c>
      <c r="BD25" s="90">
        <f>SUM(BD6:BD24)</f>
        <v>0</v>
      </c>
      <c r="BE25" s="89" t="e">
        <f>(BD25/BC25)*100</f>
        <v>#DIV/0!</v>
      </c>
      <c r="BF25" s="87">
        <f>SUM(BF6:BF24)</f>
        <v>0</v>
      </c>
      <c r="BG25" s="90">
        <f>SUM(BG6:BG24)</f>
        <v>0</v>
      </c>
      <c r="BH25" s="89" t="e">
        <f>(BG25/BF25)*100</f>
        <v>#DIV/0!</v>
      </c>
      <c r="BI25" s="4" t="s">
        <v>43</v>
      </c>
      <c r="BJ25" s="87">
        <f>SUM(BJ6:BJ24)</f>
        <v>0</v>
      </c>
      <c r="BK25" s="90">
        <f>SUM(BK6:BK24)</f>
        <v>0</v>
      </c>
      <c r="BL25" s="89" t="e">
        <f>(BK25/BJ25)*100</f>
        <v>#DIV/0!</v>
      </c>
      <c r="BM25" s="87">
        <f>SUM(BM6:BM24)</f>
        <v>0</v>
      </c>
      <c r="BN25" s="90">
        <f>SUM(BN6:BN24)</f>
        <v>0</v>
      </c>
      <c r="BO25" s="89" t="e">
        <f>(BN25/BM25)*100</f>
        <v>#DIV/0!</v>
      </c>
      <c r="BP25" s="87">
        <f>SUM(BP6:BP24)</f>
        <v>0</v>
      </c>
      <c r="BQ25" s="90">
        <f>SUM(BQ6:BQ24)</f>
        <v>0</v>
      </c>
      <c r="BR25" s="89" t="e">
        <f>(BQ25/BP25)*100</f>
        <v>#DIV/0!</v>
      </c>
      <c r="BS25" s="87">
        <f>SUM(BS6:BS24)</f>
        <v>0</v>
      </c>
      <c r="BT25" s="90">
        <f>SUM(BT6:BT24)</f>
        <v>0</v>
      </c>
      <c r="BU25" s="89" t="e">
        <f>(BT25/BS25)*100</f>
        <v>#DIV/0!</v>
      </c>
      <c r="BV25" s="5" t="s">
        <v>43</v>
      </c>
      <c r="BW25" s="54">
        <f>SUM(BW6:BW24)</f>
        <v>0</v>
      </c>
      <c r="BX25" s="54">
        <f>SUM(BX6:BX24)</f>
        <v>0</v>
      </c>
      <c r="BY25" s="54"/>
      <c r="BZ25" s="90">
        <f>SUM(BZ6:BZ24)</f>
        <v>0</v>
      </c>
      <c r="CA25" s="90">
        <f>SUM(CA6:CA24)</f>
        <v>0</v>
      </c>
      <c r="CB25" s="95" t="e">
        <f>(CA25/BZ25)*100</f>
        <v>#DIV/0!</v>
      </c>
      <c r="CC25" s="90">
        <f>SUM(CC6:CC24)</f>
        <v>0</v>
      </c>
      <c r="CD25" s="90">
        <f>SUM(CD6:CD24)</f>
        <v>0</v>
      </c>
      <c r="CE25" s="89" t="e">
        <f>(CD25/CC25)*100</f>
        <v>#DIV/0!</v>
      </c>
      <c r="CF25" s="221">
        <f>SUM(CF6:CF24)</f>
        <v>120</v>
      </c>
      <c r="CG25" s="740">
        <f>SUM(CG6:CG24)</f>
        <v>63.148610000000005</v>
      </c>
      <c r="CH25" s="150">
        <f t="shared" si="0"/>
        <v>52.62384166666667</v>
      </c>
    </row>
    <row r="26" spans="1:87" ht="21" thickBot="1">
      <c r="A26" s="48"/>
      <c r="B26" s="48" t="s">
        <v>44</v>
      </c>
      <c r="C26" s="78"/>
      <c r="D26" s="97"/>
      <c r="E26" s="115"/>
      <c r="F26" s="251"/>
      <c r="G26" s="196">
        <v>2157.30821</v>
      </c>
      <c r="H26" s="81" t="e">
        <f>(G26/F26)*100</f>
        <v>#DIV/0!</v>
      </c>
      <c r="I26" s="84"/>
      <c r="J26" s="77"/>
      <c r="K26" s="98" t="e">
        <f>(J26/I26)*100</f>
        <v>#DIV/0!</v>
      </c>
      <c r="L26" s="163"/>
      <c r="M26" s="85">
        <v>230.44547</v>
      </c>
      <c r="N26" s="98" t="e">
        <f>(M26/L26)*100</f>
        <v>#DIV/0!</v>
      </c>
      <c r="O26" s="48" t="s">
        <v>44</v>
      </c>
      <c r="P26" s="73"/>
      <c r="Q26" s="77"/>
      <c r="R26" s="98" t="e">
        <f>(Q26/P26)*100</f>
        <v>#DIV/0!</v>
      </c>
      <c r="S26" s="78"/>
      <c r="T26" s="97"/>
      <c r="U26" s="68" t="e">
        <f>(T26/S26)*100</f>
        <v>#DIV/0!</v>
      </c>
      <c r="V26" s="76"/>
      <c r="W26" s="77"/>
      <c r="X26" s="98" t="e">
        <f>(W26/V26)*100</f>
        <v>#DIV/0!</v>
      </c>
      <c r="Y26" s="73"/>
      <c r="Z26" s="77"/>
      <c r="AA26" s="99" t="e">
        <f>SUM(Z26/Y26)</f>
        <v>#DIV/0!</v>
      </c>
      <c r="AB26" s="73"/>
      <c r="AC26" s="98" t="e">
        <f>Q26/P26*100</f>
        <v>#DIV/0!</v>
      </c>
      <c r="AD26" s="73"/>
      <c r="AE26" s="77"/>
      <c r="AF26" s="98"/>
      <c r="AG26" s="73"/>
      <c r="AH26" s="77"/>
      <c r="AI26" s="98" t="e">
        <f>(AH26/AG26)*100</f>
        <v>#DIV/0!</v>
      </c>
      <c r="AJ26" s="73"/>
      <c r="AK26" s="77"/>
      <c r="AL26" s="99" t="e">
        <f>SUM(AK26/AJ26)</f>
        <v>#DIV/0!</v>
      </c>
      <c r="AM26" s="73"/>
      <c r="AN26" s="85"/>
      <c r="AO26" s="98"/>
      <c r="AP26" s="73"/>
      <c r="AQ26" s="76">
        <v>18.4147</v>
      </c>
      <c r="AR26" s="85"/>
      <c r="AS26" s="48" t="s">
        <v>44</v>
      </c>
      <c r="AT26" s="84">
        <v>283.5</v>
      </c>
      <c r="AU26" s="76">
        <v>80.78815</v>
      </c>
      <c r="AV26" s="115">
        <f>(AU26/AT26)*100</f>
        <v>28.496701940035273</v>
      </c>
      <c r="AW26" s="185"/>
      <c r="AX26" s="196"/>
      <c r="AY26" s="80"/>
      <c r="AZ26" s="76"/>
      <c r="BA26" s="297">
        <v>9.495</v>
      </c>
      <c r="BB26" s="98" t="e">
        <f>(BA26/AZ26)*100</f>
        <v>#DIV/0!</v>
      </c>
      <c r="BC26" s="73"/>
      <c r="BD26" s="76"/>
      <c r="BE26" s="98" t="e">
        <f>(BD26/BC26)*100</f>
        <v>#DIV/0!</v>
      </c>
      <c r="BF26" s="84"/>
      <c r="BG26" s="76"/>
      <c r="BH26" s="98" t="e">
        <f>(BG26/BF26)*100</f>
        <v>#DIV/0!</v>
      </c>
      <c r="BI26" s="48" t="s">
        <v>44</v>
      </c>
      <c r="BJ26" s="73"/>
      <c r="BK26" s="76"/>
      <c r="BL26" s="98" t="e">
        <f>(BK26/BJ26)*100</f>
        <v>#DIV/0!</v>
      </c>
      <c r="BM26" s="73"/>
      <c r="BN26" s="76">
        <v>4.398</v>
      </c>
      <c r="BO26" s="98" t="e">
        <f>BN26/BM26*100</f>
        <v>#DIV/0!</v>
      </c>
      <c r="BP26" s="73"/>
      <c r="BQ26" s="76"/>
      <c r="BR26" s="98" t="e">
        <f>(BQ26/BP26)*100</f>
        <v>#DIV/0!</v>
      </c>
      <c r="BS26" s="73"/>
      <c r="BT26" s="76"/>
      <c r="BU26" s="98" t="e">
        <f>(BT26/BS26)*100</f>
        <v>#DIV/0!</v>
      </c>
      <c r="BV26" s="72" t="s">
        <v>44</v>
      </c>
      <c r="BW26" s="77"/>
      <c r="BX26" s="77"/>
      <c r="BY26" s="77"/>
      <c r="BZ26" s="76"/>
      <c r="CA26" s="76"/>
      <c r="CB26" s="115" t="e">
        <f>(CA26/BZ26)*100</f>
        <v>#DIV/0!</v>
      </c>
      <c r="CC26" s="76"/>
      <c r="CD26" s="76"/>
      <c r="CE26" s="98" t="e">
        <f>(CD26/CC26)*100</f>
        <v>#DIV/0!</v>
      </c>
      <c r="CF26" s="259">
        <f>C26+F26+I26+L26+P26+AM26+AP26+AZ26+BC26+BF26+BJ26+BM26+BP26+BS26+BZ26+CC26+S26+Y26+AD26+AT26</f>
        <v>283.5</v>
      </c>
      <c r="CG26" s="741">
        <f>D26+G26+J26+M26+Q26+AN26+AQ26+BA26+BD26+BG26+BK26+BN26+BQ26+BT26+CA26+CD26+T26+Z26+AE26+AU26+AH26+W26</f>
        <v>2500.84953</v>
      </c>
      <c r="CH26" s="75">
        <f t="shared" si="0"/>
        <v>882.1338730158731</v>
      </c>
      <c r="CI26" s="280"/>
    </row>
    <row r="27" spans="1:86" ht="21" thickBot="1">
      <c r="A27" s="101"/>
      <c r="B27" s="102" t="s">
        <v>45</v>
      </c>
      <c r="C27" s="103">
        <f>SUM(C25:C26)</f>
        <v>0</v>
      </c>
      <c r="D27" s="104">
        <f>SUM(D25:D26)</f>
        <v>0</v>
      </c>
      <c r="E27" s="105" t="e">
        <f>(D27/C27)*100</f>
        <v>#DIV/0!</v>
      </c>
      <c r="F27" s="250">
        <f>SUM(F25:F26)</f>
        <v>0</v>
      </c>
      <c r="G27" s="433">
        <f>SUM(G25:G26)</f>
        <v>2161.1282100000003</v>
      </c>
      <c r="H27" s="98" t="e">
        <f>(G27/F27)*100</f>
        <v>#DIV/0!</v>
      </c>
      <c r="I27" s="103">
        <f>SUM(I25:I26)</f>
        <v>0</v>
      </c>
      <c r="J27" s="107">
        <f>SUM(J25:J26)</f>
        <v>0</v>
      </c>
      <c r="K27" s="105" t="e">
        <f>(J27/I27)*100</f>
        <v>#DIV/0!</v>
      </c>
      <c r="L27" s="164">
        <f>SUM(L25:L26)</f>
        <v>0</v>
      </c>
      <c r="M27" s="109">
        <f>SUM(M25:M26)</f>
        <v>230.44547</v>
      </c>
      <c r="N27" s="108" t="e">
        <f>(M27/L27)*100</f>
        <v>#DIV/0!</v>
      </c>
      <c r="O27" s="102" t="s">
        <v>45</v>
      </c>
      <c r="P27" s="107">
        <f>SUM(P25:P26)</f>
        <v>0</v>
      </c>
      <c r="Q27" s="107">
        <f>SUM(Q25:Q26)</f>
        <v>0</v>
      </c>
      <c r="R27" s="105" t="e">
        <f>(Q27/P27)*100</f>
        <v>#DIV/0!</v>
      </c>
      <c r="S27" s="110">
        <f>SUM(S25:S26)</f>
        <v>0</v>
      </c>
      <c r="T27" s="110">
        <f>SUM(T25:T26)</f>
        <v>0</v>
      </c>
      <c r="U27" s="111" t="e">
        <f>SUM(T27/S27)</f>
        <v>#DIV/0!</v>
      </c>
      <c r="V27" s="107">
        <f>SUM(V25:V26)</f>
        <v>0</v>
      </c>
      <c r="W27" s="107">
        <f>SUM(W25:W26)</f>
        <v>0</v>
      </c>
      <c r="X27" s="105" t="e">
        <f>(W27/V27)*100</f>
        <v>#DIV/0!</v>
      </c>
      <c r="Y27" s="107">
        <f>SUM(Y25:Y26)</f>
        <v>0</v>
      </c>
      <c r="Z27" s="107">
        <f>SUM(Z25:Z26)</f>
        <v>0</v>
      </c>
      <c r="AA27" s="112" t="e">
        <f>SUM(Z27/Y27)</f>
        <v>#DIV/0!</v>
      </c>
      <c r="AB27" s="103">
        <f>SUM(AB25:AB26)</f>
        <v>0</v>
      </c>
      <c r="AC27" s="105" t="e">
        <f>Q27/P27*100</f>
        <v>#DIV/0!</v>
      </c>
      <c r="AD27" s="107">
        <f>SUM(AD25:AD26)</f>
        <v>120</v>
      </c>
      <c r="AE27" s="109">
        <f>SUM(AE25:AE26)</f>
        <v>35.198409999999996</v>
      </c>
      <c r="AF27" s="105">
        <f>(AE27/AD27)*100</f>
        <v>29.33200833333333</v>
      </c>
      <c r="AG27" s="107">
        <f>SUM(AG25:AG26)</f>
        <v>0</v>
      </c>
      <c r="AH27" s="107">
        <f>SUM(AH25:AH26)</f>
        <v>0</v>
      </c>
      <c r="AI27" s="105" t="e">
        <f>(AH27/AG27)*100</f>
        <v>#DIV/0!</v>
      </c>
      <c r="AJ27" s="107">
        <f>SUM(AJ25:AJ26)</f>
        <v>0</v>
      </c>
      <c r="AK27" s="107">
        <f>SUM(AK25:AK26)</f>
        <v>0</v>
      </c>
      <c r="AL27" s="112" t="e">
        <f>SUM(AK27/AJ27)</f>
        <v>#DIV/0!</v>
      </c>
      <c r="AM27" s="109">
        <f>SUM(AM25:AM26)</f>
        <v>0</v>
      </c>
      <c r="AN27" s="109">
        <f>SUM(AN25:AN26)</f>
        <v>0</v>
      </c>
      <c r="AO27" s="105"/>
      <c r="AP27" s="109">
        <f>SUM(AP25:AP26)</f>
        <v>0</v>
      </c>
      <c r="AQ27" s="401">
        <f>SUM(AQ25:AQ26)</f>
        <v>18.4147</v>
      </c>
      <c r="AR27" s="109">
        <f>SUM(AR25:AR26)</f>
        <v>0</v>
      </c>
      <c r="AS27" s="114"/>
      <c r="AT27" s="103">
        <f>SUM(AT25:AT26)</f>
        <v>283.5</v>
      </c>
      <c r="AU27" s="106">
        <f>SUM(AU25:AU26)</f>
        <v>80.78815</v>
      </c>
      <c r="AV27" s="294">
        <f>(AU27/AT27)*100</f>
        <v>28.496701940035273</v>
      </c>
      <c r="AW27" s="145">
        <f>AW25+AW26</f>
        <v>0</v>
      </c>
      <c r="AX27" s="144">
        <f>AX26+AX25</f>
        <v>24.1302</v>
      </c>
      <c r="AY27" s="98" t="e">
        <f>AX27/AW27*100</f>
        <v>#DIV/0!</v>
      </c>
      <c r="AZ27" s="106">
        <f>SUM(AZ25:AZ26)</f>
        <v>0</v>
      </c>
      <c r="BA27" s="106">
        <f>SUM(BA25:BA26)</f>
        <v>9.495</v>
      </c>
      <c r="BB27" s="105" t="e">
        <f>(BA27/AZ27)*100</f>
        <v>#DIV/0!</v>
      </c>
      <c r="BC27" s="103">
        <f>SUM(BC25:BC26)</f>
        <v>0</v>
      </c>
      <c r="BD27" s="106">
        <f>SUM(BD25:BD26)</f>
        <v>0</v>
      </c>
      <c r="BE27" s="105" t="e">
        <f>(BD27/BC27)*100</f>
        <v>#DIV/0!</v>
      </c>
      <c r="BF27" s="103">
        <f>SUM(BF25:BF26)</f>
        <v>0</v>
      </c>
      <c r="BG27" s="106">
        <f>SUM(BG25:BG26)</f>
        <v>0</v>
      </c>
      <c r="BH27" s="105" t="e">
        <f>(BG27/BF27)*100</f>
        <v>#DIV/0!</v>
      </c>
      <c r="BI27" s="102" t="s">
        <v>45</v>
      </c>
      <c r="BJ27" s="103">
        <f>SUM(BJ25:BJ26)</f>
        <v>0</v>
      </c>
      <c r="BK27" s="106">
        <f>SUM(BK25:BK26)</f>
        <v>0</v>
      </c>
      <c r="BL27" s="105" t="e">
        <f>(BK27/BJ27)*100</f>
        <v>#DIV/0!</v>
      </c>
      <c r="BM27" s="103">
        <f>SUM(BM25:BM26)</f>
        <v>0</v>
      </c>
      <c r="BN27" s="106">
        <f>SUM(BN25:BN26)</f>
        <v>4.398</v>
      </c>
      <c r="BO27" s="105" t="e">
        <f>(BN27/BM27)*100</f>
        <v>#DIV/0!</v>
      </c>
      <c r="BP27" s="103">
        <f>SUM(BP25:BP26)</f>
        <v>0</v>
      </c>
      <c r="BQ27" s="106">
        <f>SUM(BQ25:BQ26)</f>
        <v>0</v>
      </c>
      <c r="BR27" s="105" t="e">
        <f>(BQ27/BP27)*100</f>
        <v>#DIV/0!</v>
      </c>
      <c r="BS27" s="103">
        <f>SUM(BS25:BS26)</f>
        <v>0</v>
      </c>
      <c r="BT27" s="106">
        <f>SUM(BT25:BT26)</f>
        <v>0</v>
      </c>
      <c r="BU27" s="105" t="e">
        <f>(BT27/BS27)*100</f>
        <v>#DIV/0!</v>
      </c>
      <c r="BV27" s="707" t="s">
        <v>45</v>
      </c>
      <c r="BW27" s="103">
        <f>SUM(BW25:BW26)</f>
        <v>0</v>
      </c>
      <c r="BX27" s="107">
        <f>SUM(BX25:BX26)</f>
        <v>0</v>
      </c>
      <c r="BY27" s="709"/>
      <c r="BZ27" s="106">
        <f>SUM(BZ25:BZ26)</f>
        <v>0</v>
      </c>
      <c r="CA27" s="106">
        <f>SUM(CA25:CA26)</f>
        <v>0</v>
      </c>
      <c r="CB27" s="294" t="e">
        <f>(CA27/BZ27)*100</f>
        <v>#DIV/0!</v>
      </c>
      <c r="CC27" s="106">
        <f>SUM(CC25:CC26)</f>
        <v>0</v>
      </c>
      <c r="CD27" s="106">
        <f>SUM(CD25:CD26)</f>
        <v>0</v>
      </c>
      <c r="CE27" s="105" t="e">
        <f>(CD27/CC27)*100</f>
        <v>#DIV/0!</v>
      </c>
      <c r="CF27" s="162">
        <f>SUM(CF25:CF26)</f>
        <v>403.5</v>
      </c>
      <c r="CG27" s="262">
        <f>SUM(CG25:CG26)</f>
        <v>2563.99814</v>
      </c>
      <c r="CH27" s="105">
        <f t="shared" si="0"/>
        <v>635.4394399008675</v>
      </c>
    </row>
  </sheetData>
  <mergeCells count="12">
    <mergeCell ref="AW3:AY4"/>
    <mergeCell ref="BW4:BY4"/>
    <mergeCell ref="BZ3:CB3"/>
    <mergeCell ref="AP3:AR3"/>
    <mergeCell ref="AT3:AV3"/>
    <mergeCell ref="BC3:BE3"/>
    <mergeCell ref="BF3:BH3"/>
    <mergeCell ref="BW3:BY3"/>
    <mergeCell ref="F3:H3"/>
    <mergeCell ref="I3:K3"/>
    <mergeCell ref="P3:R3"/>
    <mergeCell ref="S3:U3"/>
  </mergeCells>
  <printOptions/>
  <pageMargins left="0.75" right="0.75" top="1" bottom="1" header="0.5" footer="0.5"/>
  <pageSetup horizontalDpi="600" verticalDpi="600" orientation="landscape" paperSize="9" scale="75" r:id="rId1"/>
  <colBreaks count="11" manualBreakCount="11">
    <brk id="14" max="26" man="1"/>
    <brk id="30" max="65535" man="1"/>
    <brk id="45" max="65535" man="1"/>
    <brk id="52" max="65535" man="1"/>
    <brk id="65" max="65535" man="1"/>
    <brk id="80" max="65535" man="1"/>
    <brk id="81" max="65535" man="1"/>
    <brk id="97" max="65535" man="1"/>
    <brk id="98" max="65535" man="1"/>
    <brk id="99" max="65535" man="1"/>
    <brk id="10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U194"/>
  <sheetViews>
    <sheetView tabSelected="1" view="pageBreakPreview" zoomScale="75" zoomScaleNormal="62" zoomScaleSheetLayoutView="75" workbookViewId="0" topLeftCell="B3">
      <pane xSplit="1" ySplit="5" topLeftCell="DR8" activePane="bottomRight" state="frozen"/>
      <selection pane="topLeft" activeCell="B3" sqref="B3"/>
      <selection pane="topRight" activeCell="C3" sqref="C3"/>
      <selection pane="bottomLeft" activeCell="B8" sqref="B8"/>
      <selection pane="bottomRight" activeCell="BS22" sqref="BS22"/>
    </sheetView>
  </sheetViews>
  <sheetFormatPr defaultColWidth="9.00390625" defaultRowHeight="12.75"/>
  <cols>
    <col min="1" max="1" width="7.625" style="2" customWidth="1"/>
    <col min="2" max="2" width="30.25390625" style="184" customWidth="1"/>
    <col min="3" max="3" width="17.75390625" style="184" customWidth="1"/>
    <col min="4" max="4" width="17.375" style="184" customWidth="1"/>
    <col min="5" max="5" width="12.875" style="184" customWidth="1"/>
    <col min="6" max="6" width="17.75390625" style="184" customWidth="1"/>
    <col min="7" max="7" width="15.375" style="184" customWidth="1"/>
    <col min="8" max="8" width="10.00390625" style="184" customWidth="1"/>
    <col min="9" max="9" width="10.125" style="184" customWidth="1"/>
    <col min="10" max="10" width="10.75390625" style="184" customWidth="1"/>
    <col min="11" max="11" width="9.125" style="184" customWidth="1"/>
    <col min="12" max="12" width="15.625" style="184" customWidth="1"/>
    <col min="13" max="13" width="14.875" style="184" customWidth="1"/>
    <col min="14" max="14" width="11.125" style="184" customWidth="1"/>
    <col min="15" max="15" width="14.00390625" style="184" customWidth="1"/>
    <col min="16" max="16" width="15.875" style="184" customWidth="1"/>
    <col min="17" max="17" width="9.625" style="184" customWidth="1"/>
    <col min="18" max="18" width="10.625" style="184" customWidth="1"/>
    <col min="19" max="19" width="13.00390625" style="184" customWidth="1"/>
    <col min="20" max="20" width="13.75390625" style="184" customWidth="1"/>
    <col min="21" max="21" width="19.00390625" style="184" customWidth="1"/>
    <col min="22" max="22" width="12.00390625" style="184" customWidth="1"/>
    <col min="23" max="23" width="10.00390625" style="184" customWidth="1"/>
    <col min="24" max="24" width="18.75390625" style="184" customWidth="1"/>
    <col min="25" max="25" width="11.375" style="184" customWidth="1"/>
    <col min="26" max="26" width="9.375" style="184" customWidth="1"/>
    <col min="27" max="27" width="12.875" style="184" customWidth="1"/>
    <col min="28" max="28" width="12.125" style="184" customWidth="1"/>
    <col min="29" max="29" width="10.25390625" style="184" customWidth="1"/>
    <col min="30" max="30" width="12.875" style="184" customWidth="1"/>
    <col min="31" max="31" width="13.00390625" style="184" customWidth="1"/>
    <col min="32" max="32" width="12.375" style="184" customWidth="1"/>
    <col min="33" max="33" width="13.00390625" style="184" customWidth="1"/>
    <col min="34" max="34" width="11.75390625" style="184" customWidth="1"/>
    <col min="35" max="38" width="10.25390625" style="184" customWidth="1"/>
    <col min="39" max="39" width="10.625" style="184" customWidth="1"/>
    <col min="40" max="40" width="10.00390625" style="184" customWidth="1"/>
    <col min="41" max="41" width="9.25390625" style="184" customWidth="1"/>
    <col min="42" max="42" width="10.00390625" style="184" customWidth="1"/>
    <col min="43" max="43" width="11.125" style="184" customWidth="1"/>
    <col min="44" max="44" width="12.75390625" style="184" customWidth="1"/>
    <col min="45" max="45" width="13.75390625" style="184" customWidth="1"/>
    <col min="46" max="46" width="11.375" style="184" customWidth="1"/>
    <col min="47" max="47" width="11.75390625" style="184" customWidth="1"/>
    <col min="48" max="48" width="11.375" style="184" customWidth="1"/>
    <col min="49" max="49" width="12.75390625" style="184" customWidth="1"/>
    <col min="50" max="50" width="7.875" style="184" customWidth="1"/>
    <col min="51" max="51" width="14.125" style="184" customWidth="1"/>
    <col min="52" max="53" width="12.875" style="184" customWidth="1"/>
    <col min="54" max="54" width="16.125" style="184" customWidth="1"/>
    <col min="55" max="55" width="14.625" style="184" customWidth="1"/>
    <col min="56" max="56" width="14.75390625" style="184" customWidth="1"/>
    <col min="57" max="57" width="10.00390625" style="184" customWidth="1"/>
    <col min="58" max="58" width="9.375" style="184" customWidth="1"/>
    <col min="59" max="59" width="12.375" style="184" customWidth="1"/>
    <col min="60" max="60" width="13.125" style="184" customWidth="1"/>
    <col min="61" max="61" width="10.875" style="184" customWidth="1"/>
    <col min="62" max="68" width="12.00390625" style="184" customWidth="1"/>
    <col min="69" max="69" width="10.625" style="184" customWidth="1"/>
    <col min="70" max="70" width="10.375" style="184" customWidth="1"/>
    <col min="71" max="71" width="9.25390625" style="184" customWidth="1"/>
    <col min="72" max="72" width="12.375" style="184" hidden="1" customWidth="1"/>
    <col min="73" max="73" width="12.625" style="184" hidden="1" customWidth="1"/>
    <col min="74" max="74" width="10.125" style="184" hidden="1" customWidth="1"/>
    <col min="75" max="76" width="8.125" style="184" hidden="1" customWidth="1"/>
    <col min="77" max="77" width="13.25390625" style="184" hidden="1" customWidth="1"/>
    <col min="78" max="78" width="11.00390625" style="184" customWidth="1"/>
    <col min="79" max="79" width="10.875" style="184" bestFit="1" customWidth="1"/>
    <col min="80" max="80" width="13.00390625" style="184" customWidth="1"/>
    <col min="81" max="83" width="13.00390625" style="184" hidden="1" customWidth="1"/>
    <col min="84" max="89" width="13.00390625" style="184" customWidth="1"/>
    <col min="90" max="92" width="13.00390625" style="184" hidden="1" customWidth="1"/>
    <col min="93" max="93" width="13.375" style="184" hidden="1" customWidth="1"/>
    <col min="94" max="94" width="10.75390625" style="184" hidden="1" customWidth="1"/>
    <col min="95" max="95" width="14.875" style="184" hidden="1" customWidth="1"/>
    <col min="96" max="96" width="13.375" style="184" customWidth="1"/>
    <col min="97" max="97" width="13.625" style="184" customWidth="1"/>
    <col min="98" max="107" width="13.75390625" style="184" customWidth="1"/>
    <col min="108" max="108" width="17.00390625" style="184" customWidth="1"/>
    <col min="109" max="109" width="15.625" style="184" customWidth="1"/>
    <col min="110" max="110" width="15.875" style="184" customWidth="1"/>
    <col min="111" max="137" width="12.375" style="184" customWidth="1"/>
    <col min="138" max="138" width="21.875" style="184" customWidth="1"/>
    <col min="139" max="139" width="21.375" style="184" customWidth="1"/>
    <col min="140" max="140" width="7.75390625" style="184" customWidth="1"/>
    <col min="141" max="141" width="4.00390625" style="184" customWidth="1"/>
    <col min="142" max="142" width="14.25390625" style="184" customWidth="1"/>
    <col min="143" max="16384" width="9.125" style="184" customWidth="1"/>
  </cols>
  <sheetData>
    <row r="3" spans="1:151" ht="17.25" customHeight="1">
      <c r="A3" s="193" t="s">
        <v>90</v>
      </c>
      <c r="B3" s="486"/>
      <c r="C3" s="201" t="s">
        <v>173</v>
      </c>
      <c r="D3" s="202"/>
      <c r="E3" s="202"/>
      <c r="F3" s="202"/>
      <c r="G3" s="202"/>
      <c r="H3" s="202"/>
      <c r="I3" s="202"/>
      <c r="J3" s="202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</row>
    <row r="4" spans="1:151" ht="33.75" customHeight="1" thickBot="1">
      <c r="A4" s="193"/>
      <c r="B4" s="193"/>
      <c r="C4" s="202"/>
      <c r="D4" s="202"/>
      <c r="E4" s="202" t="s">
        <v>237</v>
      </c>
      <c r="F4" s="202"/>
      <c r="G4" s="202"/>
      <c r="H4" s="202"/>
      <c r="I4" s="202"/>
      <c r="J4" s="202"/>
      <c r="K4" s="193"/>
      <c r="L4" s="290"/>
      <c r="M4" s="290"/>
      <c r="N4" s="193" t="s">
        <v>176</v>
      </c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</row>
    <row r="5" spans="1:140" s="236" customFormat="1" ht="54.75" customHeight="1">
      <c r="A5" s="224" t="s">
        <v>40</v>
      </c>
      <c r="B5" s="234" t="s">
        <v>129</v>
      </c>
      <c r="C5" s="306" t="s">
        <v>189</v>
      </c>
      <c r="D5" s="226"/>
      <c r="E5" s="307"/>
      <c r="F5" s="226"/>
      <c r="G5" s="226" t="s">
        <v>131</v>
      </c>
      <c r="H5" s="226"/>
      <c r="I5" s="232"/>
      <c r="J5" s="233" t="s">
        <v>171</v>
      </c>
      <c r="K5" s="233"/>
      <c r="L5" s="305"/>
      <c r="M5" s="233" t="s">
        <v>132</v>
      </c>
      <c r="N5" s="227"/>
      <c r="O5" s="226" t="s">
        <v>190</v>
      </c>
      <c r="P5" s="226"/>
      <c r="Q5" s="226"/>
      <c r="R5" s="801" t="s">
        <v>205</v>
      </c>
      <c r="S5" s="843"/>
      <c r="T5" s="844"/>
      <c r="U5" s="228" t="s">
        <v>134</v>
      </c>
      <c r="V5" s="229">
        <v>90411</v>
      </c>
      <c r="W5" s="230"/>
      <c r="X5" s="231" t="s">
        <v>208</v>
      </c>
      <c r="Y5" s="226" t="s">
        <v>180</v>
      </c>
      <c r="Z5" s="226"/>
      <c r="AA5" s="808" t="s">
        <v>144</v>
      </c>
      <c r="AB5" s="809"/>
      <c r="AC5" s="804"/>
      <c r="AD5" s="225" t="s">
        <v>169</v>
      </c>
      <c r="AE5" s="226"/>
      <c r="AF5" s="227"/>
      <c r="AG5" s="808" t="s">
        <v>121</v>
      </c>
      <c r="AH5" s="809"/>
      <c r="AI5" s="804"/>
      <c r="AJ5" s="837" t="s">
        <v>216</v>
      </c>
      <c r="AK5" s="838"/>
      <c r="AL5" s="839"/>
      <c r="AM5" s="225" t="s">
        <v>135</v>
      </c>
      <c r="AN5" s="225"/>
      <c r="AO5" s="227"/>
      <c r="AP5" s="225" t="s">
        <v>136</v>
      </c>
      <c r="AQ5" s="226"/>
      <c r="AR5" s="227"/>
      <c r="AS5" s="801" t="s">
        <v>181</v>
      </c>
      <c r="AT5" s="802"/>
      <c r="AU5" s="803"/>
      <c r="AV5" s="808" t="s">
        <v>65</v>
      </c>
      <c r="AW5" s="809"/>
      <c r="AX5" s="804"/>
      <c r="AY5" s="808" t="s">
        <v>137</v>
      </c>
      <c r="AZ5" s="809"/>
      <c r="BA5" s="804"/>
      <c r="BB5" s="808" t="s">
        <v>68</v>
      </c>
      <c r="BC5" s="809"/>
      <c r="BD5" s="804"/>
      <c r="BE5" s="808" t="s">
        <v>138</v>
      </c>
      <c r="BF5" s="809"/>
      <c r="BG5" s="804"/>
      <c r="BH5" s="808" t="s">
        <v>139</v>
      </c>
      <c r="BI5" s="809"/>
      <c r="BJ5" s="804"/>
      <c r="BK5" s="837" t="s">
        <v>215</v>
      </c>
      <c r="BL5" s="838"/>
      <c r="BM5" s="839"/>
      <c r="BN5" s="837" t="s">
        <v>233</v>
      </c>
      <c r="BO5" s="838"/>
      <c r="BP5" s="839"/>
      <c r="BQ5" s="808" t="s">
        <v>218</v>
      </c>
      <c r="BR5" s="809"/>
      <c r="BS5" s="804"/>
      <c r="BT5" s="808" t="s">
        <v>106</v>
      </c>
      <c r="BU5" s="809"/>
      <c r="BV5" s="804"/>
      <c r="BW5" s="225" t="s">
        <v>140</v>
      </c>
      <c r="BX5" s="226"/>
      <c r="BY5" s="226"/>
      <c r="BZ5" s="225" t="s">
        <v>126</v>
      </c>
      <c r="CA5" s="226"/>
      <c r="CB5" s="728">
        <v>250102</v>
      </c>
      <c r="CC5" s="867" t="s">
        <v>211</v>
      </c>
      <c r="CD5" s="868"/>
      <c r="CE5" s="868"/>
      <c r="CF5" s="891" t="s">
        <v>236</v>
      </c>
      <c r="CG5" s="892"/>
      <c r="CH5" s="893"/>
      <c r="CI5" s="861" t="s">
        <v>209</v>
      </c>
      <c r="CJ5" s="862"/>
      <c r="CK5" s="863"/>
      <c r="CL5" s="867" t="s">
        <v>210</v>
      </c>
      <c r="CM5" s="868"/>
      <c r="CN5" s="889"/>
      <c r="CO5" s="802" t="s">
        <v>207</v>
      </c>
      <c r="CP5" s="802"/>
      <c r="CQ5" s="803"/>
      <c r="CR5" s="845" t="s">
        <v>202</v>
      </c>
      <c r="CS5" s="846"/>
      <c r="CT5" s="847"/>
      <c r="CU5" s="871" t="s">
        <v>232</v>
      </c>
      <c r="CV5" s="872"/>
      <c r="CW5" s="873"/>
      <c r="CX5" s="871" t="s">
        <v>231</v>
      </c>
      <c r="CY5" s="872"/>
      <c r="CZ5" s="873"/>
      <c r="DA5" s="883" t="s">
        <v>229</v>
      </c>
      <c r="DB5" s="884"/>
      <c r="DC5" s="885"/>
      <c r="DD5" s="883" t="s">
        <v>230</v>
      </c>
      <c r="DE5" s="884"/>
      <c r="DF5" s="885"/>
      <c r="DG5" s="801" t="s">
        <v>228</v>
      </c>
      <c r="DH5" s="802"/>
      <c r="DI5" s="803"/>
      <c r="DJ5" s="801" t="s">
        <v>227</v>
      </c>
      <c r="DK5" s="802"/>
      <c r="DL5" s="802"/>
      <c r="DM5" s="801" t="s">
        <v>217</v>
      </c>
      <c r="DN5" s="802"/>
      <c r="DO5" s="802"/>
      <c r="DP5" s="801" t="s">
        <v>226</v>
      </c>
      <c r="DQ5" s="802"/>
      <c r="DR5" s="803"/>
      <c r="DS5" s="801" t="s">
        <v>222</v>
      </c>
      <c r="DT5" s="802"/>
      <c r="DU5" s="803"/>
      <c r="DV5" s="801" t="s">
        <v>223</v>
      </c>
      <c r="DW5" s="802"/>
      <c r="DX5" s="802"/>
      <c r="DY5" s="801" t="s">
        <v>238</v>
      </c>
      <c r="DZ5" s="802"/>
      <c r="EA5" s="803"/>
      <c r="EB5" s="832" t="s">
        <v>225</v>
      </c>
      <c r="EC5" s="832"/>
      <c r="ED5" s="833"/>
      <c r="EE5" s="802" t="s">
        <v>224</v>
      </c>
      <c r="EF5" s="802"/>
      <c r="EG5" s="803"/>
      <c r="EH5" s="857" t="s">
        <v>142</v>
      </c>
      <c r="EI5" s="858"/>
      <c r="EJ5" s="235"/>
    </row>
    <row r="6" spans="1:141" s="248" customFormat="1" ht="86.25" customHeight="1" thickBot="1">
      <c r="A6" s="237"/>
      <c r="B6" s="247"/>
      <c r="C6" s="238"/>
      <c r="D6" s="239" t="s">
        <v>82</v>
      </c>
      <c r="E6" s="240"/>
      <c r="F6" s="239" t="s">
        <v>204</v>
      </c>
      <c r="G6" s="239"/>
      <c r="H6" s="239"/>
      <c r="I6" s="243"/>
      <c r="J6" s="241" t="s">
        <v>172</v>
      </c>
      <c r="K6" s="239"/>
      <c r="L6" s="238"/>
      <c r="M6" s="239" t="s">
        <v>46</v>
      </c>
      <c r="N6" s="240"/>
      <c r="O6" s="239"/>
      <c r="P6" s="239" t="s">
        <v>47</v>
      </c>
      <c r="Q6" s="239"/>
      <c r="R6" s="851" t="s">
        <v>203</v>
      </c>
      <c r="S6" s="852"/>
      <c r="T6" s="853"/>
      <c r="U6" s="244"/>
      <c r="V6" s="488" t="s">
        <v>201</v>
      </c>
      <c r="W6" s="246"/>
      <c r="X6" s="239" t="s">
        <v>122</v>
      </c>
      <c r="Y6" s="239"/>
      <c r="Z6" s="239"/>
      <c r="AA6" s="854" t="s">
        <v>49</v>
      </c>
      <c r="AB6" s="855"/>
      <c r="AC6" s="856"/>
      <c r="AD6" s="238"/>
      <c r="AE6" s="268">
        <v>91209</v>
      </c>
      <c r="AF6" s="240"/>
      <c r="AG6" s="238"/>
      <c r="AH6" s="241">
        <v>90405</v>
      </c>
      <c r="AI6" s="242">
        <v>90406</v>
      </c>
      <c r="AJ6" s="840"/>
      <c r="AK6" s="841"/>
      <c r="AL6" s="842"/>
      <c r="AM6" s="854" t="s">
        <v>105</v>
      </c>
      <c r="AN6" s="855"/>
      <c r="AO6" s="856"/>
      <c r="AP6" s="753"/>
      <c r="AQ6" s="245" t="s">
        <v>221</v>
      </c>
      <c r="AR6" s="246"/>
      <c r="AS6" s="244"/>
      <c r="AT6" s="245" t="s">
        <v>119</v>
      </c>
      <c r="AU6" s="246"/>
      <c r="AV6" s="238"/>
      <c r="AW6" s="239" t="s">
        <v>54</v>
      </c>
      <c r="AX6" s="240"/>
      <c r="AY6" s="805" t="s">
        <v>182</v>
      </c>
      <c r="AZ6" s="806"/>
      <c r="BA6" s="807"/>
      <c r="BB6" s="239"/>
      <c r="BC6" s="239" t="s">
        <v>55</v>
      </c>
      <c r="BD6" s="240"/>
      <c r="BE6" s="238"/>
      <c r="BF6" s="239" t="s">
        <v>56</v>
      </c>
      <c r="BG6" s="240"/>
      <c r="BH6" s="238"/>
      <c r="BI6" s="239" t="s">
        <v>57</v>
      </c>
      <c r="BJ6" s="240"/>
      <c r="BK6" s="840"/>
      <c r="BL6" s="841"/>
      <c r="BM6" s="842"/>
      <c r="BN6" s="877"/>
      <c r="BO6" s="878"/>
      <c r="BP6" s="879"/>
      <c r="BQ6" s="805" t="s">
        <v>184</v>
      </c>
      <c r="BR6" s="806"/>
      <c r="BS6" s="807"/>
      <c r="BT6" s="854" t="s">
        <v>114</v>
      </c>
      <c r="BU6" s="855"/>
      <c r="BV6" s="856"/>
      <c r="BW6" s="854" t="s">
        <v>123</v>
      </c>
      <c r="BX6" s="855"/>
      <c r="BY6" s="856"/>
      <c r="BZ6" s="238" t="s">
        <v>141</v>
      </c>
      <c r="CA6" s="239"/>
      <c r="CB6" s="729">
        <v>210105</v>
      </c>
      <c r="CC6" s="869"/>
      <c r="CD6" s="870"/>
      <c r="CE6" s="870"/>
      <c r="CF6" s="894"/>
      <c r="CG6" s="895"/>
      <c r="CH6" s="896"/>
      <c r="CI6" s="864"/>
      <c r="CJ6" s="865"/>
      <c r="CK6" s="866"/>
      <c r="CL6" s="869"/>
      <c r="CM6" s="870"/>
      <c r="CN6" s="890"/>
      <c r="CO6" s="859" t="s">
        <v>117</v>
      </c>
      <c r="CP6" s="859"/>
      <c r="CQ6" s="860"/>
      <c r="CR6" s="848"/>
      <c r="CS6" s="849"/>
      <c r="CT6" s="850"/>
      <c r="CU6" s="874"/>
      <c r="CV6" s="875"/>
      <c r="CW6" s="876"/>
      <c r="CX6" s="874"/>
      <c r="CY6" s="875"/>
      <c r="CZ6" s="876"/>
      <c r="DA6" s="886"/>
      <c r="DB6" s="887"/>
      <c r="DC6" s="888"/>
      <c r="DD6" s="886"/>
      <c r="DE6" s="887"/>
      <c r="DF6" s="888"/>
      <c r="DG6" s="799"/>
      <c r="DH6" s="800"/>
      <c r="DI6" s="836"/>
      <c r="DJ6" s="799"/>
      <c r="DK6" s="800"/>
      <c r="DL6" s="800"/>
      <c r="DM6" s="799"/>
      <c r="DN6" s="800"/>
      <c r="DO6" s="800"/>
      <c r="DP6" s="799"/>
      <c r="DQ6" s="800"/>
      <c r="DR6" s="836"/>
      <c r="DS6" s="799"/>
      <c r="DT6" s="800"/>
      <c r="DU6" s="836"/>
      <c r="DV6" s="799"/>
      <c r="DW6" s="800"/>
      <c r="DX6" s="800"/>
      <c r="DY6" s="880"/>
      <c r="DZ6" s="881"/>
      <c r="EA6" s="882"/>
      <c r="EB6" s="834"/>
      <c r="EC6" s="834"/>
      <c r="ED6" s="835"/>
      <c r="EE6" s="800"/>
      <c r="EF6" s="800"/>
      <c r="EG6" s="836"/>
      <c r="EH6" s="264"/>
      <c r="EI6" s="265"/>
      <c r="EJ6" s="266"/>
      <c r="EK6" s="273"/>
    </row>
    <row r="7" spans="1:142" s="2" customFormat="1" ht="21" thickBot="1">
      <c r="A7" s="157"/>
      <c r="B7" s="195"/>
      <c r="C7" s="204" t="s">
        <v>41</v>
      </c>
      <c r="D7" s="205" t="s">
        <v>42</v>
      </c>
      <c r="E7" s="206" t="s">
        <v>0</v>
      </c>
      <c r="F7" s="204" t="s">
        <v>41</v>
      </c>
      <c r="G7" s="207" t="s">
        <v>42</v>
      </c>
      <c r="H7" s="206" t="s">
        <v>0</v>
      </c>
      <c r="I7" s="204" t="s">
        <v>41</v>
      </c>
      <c r="J7" s="206" t="s">
        <v>42</v>
      </c>
      <c r="K7" s="208" t="s">
        <v>0</v>
      </c>
      <c r="L7" s="204" t="s">
        <v>41</v>
      </c>
      <c r="M7" s="207" t="s">
        <v>42</v>
      </c>
      <c r="N7" s="206" t="s">
        <v>0</v>
      </c>
      <c r="O7" s="204" t="s">
        <v>41</v>
      </c>
      <c r="P7" s="207" t="s">
        <v>42</v>
      </c>
      <c r="Q7" s="213" t="s">
        <v>0</v>
      </c>
      <c r="R7" s="204" t="s">
        <v>41</v>
      </c>
      <c r="S7" s="207" t="s">
        <v>42</v>
      </c>
      <c r="T7" s="213" t="s">
        <v>0</v>
      </c>
      <c r="U7" s="209" t="s">
        <v>41</v>
      </c>
      <c r="V7" s="210" t="s">
        <v>42</v>
      </c>
      <c r="W7" s="211" t="s">
        <v>0</v>
      </c>
      <c r="X7" s="204" t="s">
        <v>41</v>
      </c>
      <c r="Y7" s="207" t="s">
        <v>42</v>
      </c>
      <c r="Z7" s="212" t="s">
        <v>0</v>
      </c>
      <c r="AA7" s="204" t="s">
        <v>41</v>
      </c>
      <c r="AB7" s="207" t="s">
        <v>42</v>
      </c>
      <c r="AC7" s="206" t="s">
        <v>0</v>
      </c>
      <c r="AD7" s="204" t="s">
        <v>41</v>
      </c>
      <c r="AE7" s="207" t="s">
        <v>42</v>
      </c>
      <c r="AF7" s="206" t="s">
        <v>0</v>
      </c>
      <c r="AG7" s="204" t="s">
        <v>41</v>
      </c>
      <c r="AH7" s="207" t="s">
        <v>42</v>
      </c>
      <c r="AI7" s="206" t="s">
        <v>0</v>
      </c>
      <c r="AJ7" s="209" t="s">
        <v>41</v>
      </c>
      <c r="AK7" s="210" t="s">
        <v>42</v>
      </c>
      <c r="AL7" s="211" t="s">
        <v>0</v>
      </c>
      <c r="AM7" s="204" t="s">
        <v>41</v>
      </c>
      <c r="AN7" s="207" t="s">
        <v>42</v>
      </c>
      <c r="AO7" s="206" t="s">
        <v>0</v>
      </c>
      <c r="AP7" s="204" t="s">
        <v>41</v>
      </c>
      <c r="AQ7" s="207" t="s">
        <v>42</v>
      </c>
      <c r="AR7" s="206" t="s">
        <v>0</v>
      </c>
      <c r="AS7" s="205" t="s">
        <v>41</v>
      </c>
      <c r="AT7" s="207" t="s">
        <v>42</v>
      </c>
      <c r="AU7" s="206" t="s">
        <v>0</v>
      </c>
      <c r="AV7" s="204" t="s">
        <v>41</v>
      </c>
      <c r="AW7" s="207" t="s">
        <v>42</v>
      </c>
      <c r="AX7" s="206" t="s">
        <v>0</v>
      </c>
      <c r="AY7" s="204" t="s">
        <v>41</v>
      </c>
      <c r="AZ7" s="207" t="s">
        <v>42</v>
      </c>
      <c r="BA7" s="206" t="s">
        <v>0</v>
      </c>
      <c r="BB7" s="205" t="s">
        <v>41</v>
      </c>
      <c r="BC7" s="207" t="s">
        <v>42</v>
      </c>
      <c r="BD7" s="206" t="s">
        <v>0</v>
      </c>
      <c r="BE7" s="204" t="s">
        <v>41</v>
      </c>
      <c r="BF7" s="207" t="s">
        <v>42</v>
      </c>
      <c r="BG7" s="206" t="s">
        <v>0</v>
      </c>
      <c r="BH7" s="205" t="s">
        <v>41</v>
      </c>
      <c r="BI7" s="207" t="s">
        <v>42</v>
      </c>
      <c r="BJ7" s="212" t="s">
        <v>0</v>
      </c>
      <c r="BK7" s="209" t="s">
        <v>41</v>
      </c>
      <c r="BL7" s="210" t="s">
        <v>42</v>
      </c>
      <c r="BM7" s="738" t="s">
        <v>0</v>
      </c>
      <c r="BN7" s="209" t="s">
        <v>41</v>
      </c>
      <c r="BO7" s="210" t="s">
        <v>42</v>
      </c>
      <c r="BP7" s="738" t="s">
        <v>0</v>
      </c>
      <c r="BQ7" s="209" t="s">
        <v>41</v>
      </c>
      <c r="BR7" s="210" t="s">
        <v>42</v>
      </c>
      <c r="BS7" s="211" t="s">
        <v>0</v>
      </c>
      <c r="BT7" s="204" t="s">
        <v>41</v>
      </c>
      <c r="BU7" s="207" t="s">
        <v>42</v>
      </c>
      <c r="BV7" s="212" t="s">
        <v>0</v>
      </c>
      <c r="BW7" s="204" t="s">
        <v>41</v>
      </c>
      <c r="BX7" s="207" t="s">
        <v>42</v>
      </c>
      <c r="BY7" s="212" t="s">
        <v>0</v>
      </c>
      <c r="BZ7" s="269" t="s">
        <v>41</v>
      </c>
      <c r="CA7" s="210" t="s">
        <v>42</v>
      </c>
      <c r="CB7" s="730" t="s">
        <v>0</v>
      </c>
      <c r="CC7" s="209" t="s">
        <v>41</v>
      </c>
      <c r="CD7" s="210" t="s">
        <v>42</v>
      </c>
      <c r="CE7" s="738" t="s">
        <v>0</v>
      </c>
      <c r="CF7" s="269" t="s">
        <v>41</v>
      </c>
      <c r="CG7" s="210" t="s">
        <v>42</v>
      </c>
      <c r="CH7" s="730" t="s">
        <v>0</v>
      </c>
      <c r="CI7" s="205" t="s">
        <v>41</v>
      </c>
      <c r="CJ7" s="207" t="s">
        <v>42</v>
      </c>
      <c r="CK7" s="206" t="s">
        <v>0</v>
      </c>
      <c r="CL7" s="205" t="s">
        <v>41</v>
      </c>
      <c r="CM7" s="207" t="s">
        <v>42</v>
      </c>
      <c r="CN7" s="206" t="s">
        <v>0</v>
      </c>
      <c r="CO7" s="205" t="s">
        <v>41</v>
      </c>
      <c r="CP7" s="207" t="s">
        <v>42</v>
      </c>
      <c r="CQ7" s="206" t="s">
        <v>0</v>
      </c>
      <c r="CR7" s="719" t="s">
        <v>41</v>
      </c>
      <c r="CS7" s="642" t="s">
        <v>42</v>
      </c>
      <c r="CT7" s="712" t="s">
        <v>0</v>
      </c>
      <c r="CU7" s="719" t="s">
        <v>41</v>
      </c>
      <c r="CV7" s="642" t="s">
        <v>42</v>
      </c>
      <c r="CW7" s="712" t="s">
        <v>0</v>
      </c>
      <c r="CX7" s="209" t="s">
        <v>41</v>
      </c>
      <c r="CY7" s="210" t="s">
        <v>42</v>
      </c>
      <c r="CZ7" s="211" t="s">
        <v>0</v>
      </c>
      <c r="DA7" s="719" t="s">
        <v>41</v>
      </c>
      <c r="DB7" s="642" t="s">
        <v>42</v>
      </c>
      <c r="DC7" s="643" t="s">
        <v>0</v>
      </c>
      <c r="DD7" s="209" t="s">
        <v>41</v>
      </c>
      <c r="DE7" s="210" t="s">
        <v>42</v>
      </c>
      <c r="DF7" s="211" t="s">
        <v>0</v>
      </c>
      <c r="DG7" s="279" t="s">
        <v>41</v>
      </c>
      <c r="DH7" s="210" t="s">
        <v>42</v>
      </c>
      <c r="DI7" s="211" t="s">
        <v>0</v>
      </c>
      <c r="DJ7" s="478" t="s">
        <v>41</v>
      </c>
      <c r="DK7" s="328" t="s">
        <v>42</v>
      </c>
      <c r="DL7" s="479" t="s">
        <v>0</v>
      </c>
      <c r="DM7" s="478" t="s">
        <v>41</v>
      </c>
      <c r="DN7" s="328" t="s">
        <v>42</v>
      </c>
      <c r="DO7" s="479" t="s">
        <v>0</v>
      </c>
      <c r="DP7" s="209" t="s">
        <v>41</v>
      </c>
      <c r="DQ7" s="210" t="s">
        <v>42</v>
      </c>
      <c r="DR7" s="738" t="s">
        <v>0</v>
      </c>
      <c r="DS7" s="478" t="s">
        <v>41</v>
      </c>
      <c r="DT7" s="328" t="s">
        <v>42</v>
      </c>
      <c r="DU7" s="479" t="s">
        <v>0</v>
      </c>
      <c r="DV7" s="478" t="s">
        <v>41</v>
      </c>
      <c r="DW7" s="328" t="s">
        <v>42</v>
      </c>
      <c r="DX7" s="479" t="s">
        <v>0</v>
      </c>
      <c r="DY7" s="209" t="s">
        <v>41</v>
      </c>
      <c r="DZ7" s="210" t="s">
        <v>42</v>
      </c>
      <c r="EA7" s="211" t="s">
        <v>0</v>
      </c>
      <c r="EB7" s="279" t="s">
        <v>41</v>
      </c>
      <c r="EC7" s="210" t="s">
        <v>42</v>
      </c>
      <c r="ED7" s="211" t="s">
        <v>0</v>
      </c>
      <c r="EE7" s="279" t="s">
        <v>41</v>
      </c>
      <c r="EF7" s="210" t="s">
        <v>42</v>
      </c>
      <c r="EG7" s="211" t="s">
        <v>0</v>
      </c>
      <c r="EH7" s="209" t="s">
        <v>41</v>
      </c>
      <c r="EI7" s="210" t="s">
        <v>42</v>
      </c>
      <c r="EJ7" s="211" t="s">
        <v>0</v>
      </c>
      <c r="EK7" s="71"/>
      <c r="EL7" s="71"/>
    </row>
    <row r="8" spans="1:142" s="2" customFormat="1" ht="20.25">
      <c r="A8" s="203" t="s">
        <v>1</v>
      </c>
      <c r="B8" s="473" t="s">
        <v>147</v>
      </c>
      <c r="C8" s="58">
        <v>849.7</v>
      </c>
      <c r="D8" s="51">
        <v>447.93205</v>
      </c>
      <c r="E8" s="121">
        <f aca="true" t="shared" si="0" ref="E8:E29">(D8/C8)*100</f>
        <v>52.71649405672591</v>
      </c>
      <c r="F8" s="58"/>
      <c r="G8" s="55"/>
      <c r="H8" s="135"/>
      <c r="I8" s="58"/>
      <c r="J8" s="55"/>
      <c r="K8" s="121"/>
      <c r="L8" s="58">
        <v>1746.3</v>
      </c>
      <c r="M8" s="55">
        <v>783.44563</v>
      </c>
      <c r="N8" s="121">
        <f aca="true" t="shared" si="1" ref="N8:N15">(M8/L8)*100</f>
        <v>44.86317528488805</v>
      </c>
      <c r="O8" s="149"/>
      <c r="P8" s="151"/>
      <c r="Q8" s="95"/>
      <c r="R8" s="58">
        <v>247.9</v>
      </c>
      <c r="S8" s="55">
        <v>102.08184</v>
      </c>
      <c r="T8" s="52">
        <f>(S8/R8)*100</f>
        <v>41.17863654699476</v>
      </c>
      <c r="U8" s="92"/>
      <c r="V8" s="55"/>
      <c r="W8" s="52"/>
      <c r="X8" s="149">
        <v>37.5</v>
      </c>
      <c r="Y8" s="151">
        <v>6.55</v>
      </c>
      <c r="Z8" s="89">
        <f aca="true" t="shared" si="2" ref="Z8:Z14">(Y8/X8)*100</f>
        <v>17.466666666666665</v>
      </c>
      <c r="AA8" s="58"/>
      <c r="AB8" s="55"/>
      <c r="AC8" s="52"/>
      <c r="AD8" s="58"/>
      <c r="AE8" s="55"/>
      <c r="AF8" s="52"/>
      <c r="AG8" s="58"/>
      <c r="AH8" s="55"/>
      <c r="AI8" s="51"/>
      <c r="AJ8" s="149">
        <v>20</v>
      </c>
      <c r="AK8" s="151">
        <v>7.74896</v>
      </c>
      <c r="AL8" s="64">
        <f>AK8/AJ8*100</f>
        <v>38.7448</v>
      </c>
      <c r="AM8" s="92"/>
      <c r="AN8" s="55"/>
      <c r="AO8" s="52"/>
      <c r="AP8" s="58"/>
      <c r="AQ8" s="55"/>
      <c r="AR8" s="52"/>
      <c r="AS8" s="58"/>
      <c r="AT8" s="55"/>
      <c r="AU8" s="284" t="e">
        <f>(AT8/AS8)*100</f>
        <v>#DIV/0!</v>
      </c>
      <c r="AV8" s="58"/>
      <c r="AW8" s="55"/>
      <c r="AX8" s="52"/>
      <c r="AY8" s="58">
        <v>354.6</v>
      </c>
      <c r="AZ8" s="55">
        <v>224.57215</v>
      </c>
      <c r="BA8" s="52">
        <f aca="true" t="shared" si="3" ref="BA8:BA19">(AZ8/AY8)*100</f>
        <v>63.33111957134799</v>
      </c>
      <c r="BB8" s="159">
        <v>253.6</v>
      </c>
      <c r="BC8" s="55">
        <v>124.01368</v>
      </c>
      <c r="BD8" s="52">
        <f aca="true" t="shared" si="4" ref="BD8:BD29">(BC8/BB8)*100</f>
        <v>48.901293375394324</v>
      </c>
      <c r="BE8" s="58"/>
      <c r="BF8" s="55"/>
      <c r="BG8" s="52"/>
      <c r="BH8" s="58">
        <v>62</v>
      </c>
      <c r="BI8" s="55">
        <v>29.464</v>
      </c>
      <c r="BJ8" s="641">
        <f>(BI8/BH8)*100</f>
        <v>47.52258064516129</v>
      </c>
      <c r="BK8" s="678"/>
      <c r="BL8" s="679"/>
      <c r="BM8" s="775"/>
      <c r="BN8" s="678">
        <v>16</v>
      </c>
      <c r="BO8" s="679">
        <v>16</v>
      </c>
      <c r="BP8" s="158">
        <f>BO8/BN8*100</f>
        <v>100</v>
      </c>
      <c r="BQ8" s="92">
        <v>54.34267</v>
      </c>
      <c r="BR8" s="55">
        <v>17.84</v>
      </c>
      <c r="BS8" s="778">
        <f>BR8/BQ8*100</f>
        <v>32.82871452580449</v>
      </c>
      <c r="BT8" s="92"/>
      <c r="BU8" s="55"/>
      <c r="BV8" s="52"/>
      <c r="BW8" s="149"/>
      <c r="BX8" s="151"/>
      <c r="BY8" s="89"/>
      <c r="BZ8" s="149">
        <v>51</v>
      </c>
      <c r="CA8" s="151"/>
      <c r="CB8" s="158">
        <f>(CA8/BZ8)*100</f>
        <v>0</v>
      </c>
      <c r="CC8" s="678"/>
      <c r="CD8" s="679"/>
      <c r="CE8" s="775"/>
      <c r="CF8" s="657"/>
      <c r="CG8" s="655"/>
      <c r="CH8" s="152"/>
      <c r="CI8" s="675"/>
      <c r="CJ8" s="655"/>
      <c r="CK8" s="284" t="e">
        <f aca="true" t="shared" si="5" ref="CK8:CK26">(CJ8/CI8)*100</f>
        <v>#DIV/0!</v>
      </c>
      <c r="CL8" s="710"/>
      <c r="CM8" s="710"/>
      <c r="CN8" s="52" t="e">
        <f>(CM8/CL8)*100</f>
        <v>#DIV/0!</v>
      </c>
      <c r="CO8" s="94"/>
      <c r="CP8" s="94"/>
      <c r="CQ8" s="312"/>
      <c r="CR8" s="149"/>
      <c r="CS8" s="151"/>
      <c r="CT8" s="89"/>
      <c r="CU8" s="94"/>
      <c r="CV8" s="151"/>
      <c r="CW8" s="89"/>
      <c r="CX8" s="94"/>
      <c r="CY8" s="151"/>
      <c r="CZ8" s="89"/>
      <c r="DA8" s="94"/>
      <c r="DB8" s="151"/>
      <c r="DC8" s="95"/>
      <c r="DD8" s="149"/>
      <c r="DE8" s="151"/>
      <c r="DF8" s="89"/>
      <c r="DG8" s="92">
        <v>1361.9</v>
      </c>
      <c r="DH8" s="92">
        <f>113.5*6</f>
        <v>681</v>
      </c>
      <c r="DI8" s="52">
        <f>(DH8/DG8)*100</f>
        <v>50.00367134150818</v>
      </c>
      <c r="DJ8" s="149">
        <v>40</v>
      </c>
      <c r="DK8" s="151">
        <v>40</v>
      </c>
      <c r="DL8" s="95">
        <f>DK8/DJ8*100</f>
        <v>100</v>
      </c>
      <c r="DM8" s="149"/>
      <c r="DN8" s="151"/>
      <c r="DO8" s="95"/>
      <c r="DP8" s="58">
        <v>125.1</v>
      </c>
      <c r="DQ8" s="55">
        <v>41.7</v>
      </c>
      <c r="DR8" s="51">
        <f>DQ8/DP8*100</f>
        <v>33.333333333333336</v>
      </c>
      <c r="DS8" s="149">
        <v>33.05</v>
      </c>
      <c r="DT8" s="151">
        <v>33.05</v>
      </c>
      <c r="DU8" s="89">
        <f>DT8/DS8*100</f>
        <v>100</v>
      </c>
      <c r="DV8" s="94">
        <v>22.7</v>
      </c>
      <c r="DW8" s="151">
        <v>22.7</v>
      </c>
      <c r="DX8" s="95">
        <f>DW8/DV8*100</f>
        <v>100</v>
      </c>
      <c r="DY8" s="58"/>
      <c r="DZ8" s="55"/>
      <c r="EA8" s="52"/>
      <c r="EB8" s="94"/>
      <c r="EC8" s="151"/>
      <c r="ED8" s="89"/>
      <c r="EE8" s="94">
        <v>10</v>
      </c>
      <c r="EF8" s="151">
        <v>10</v>
      </c>
      <c r="EG8" s="89">
        <f>EF8/EE8*100</f>
        <v>100</v>
      </c>
      <c r="EH8" s="149">
        <f>C8+F8+I8+L8+O8+R8+U8+X8+AA8+AD8+AG8+AM8+AP8+AS8+AV8+AY8+BB8+BE8+BH8+BT8+BW8+BZ8+DJ8+EE8+BQ8+CI8+DP8+DS8+DV8+EB8+AJ8+BN8</f>
        <v>3923.79267</v>
      </c>
      <c r="EI8" s="94">
        <f>D8+G8+J8+M8+P8+S8+V8+Y8+AB8+AE8+AH8+AN8+AQ8+AT8+AW8+AZ8+BC8+BF8+BI8+BU8+BX8+CA8+DK8+EF8+BR8+CJ8+DQ8+DT8+DW8+EC8+AK8+BO8</f>
        <v>1907.0983099999999</v>
      </c>
      <c r="EJ8" s="52">
        <f aca="true" t="shared" si="6" ref="EJ8:EJ29">(EI8/EH8)*100</f>
        <v>48.6034423934025</v>
      </c>
      <c r="EK8" s="274"/>
      <c r="EL8" s="71"/>
    </row>
    <row r="9" spans="1:142" s="2" customFormat="1" ht="20.25">
      <c r="A9" s="203" t="s">
        <v>3</v>
      </c>
      <c r="B9" s="474" t="s">
        <v>148</v>
      </c>
      <c r="C9" s="67">
        <v>730</v>
      </c>
      <c r="D9" s="70">
        <v>322.05135</v>
      </c>
      <c r="E9" s="52">
        <f t="shared" si="0"/>
        <v>44.11662328767124</v>
      </c>
      <c r="F9" s="67"/>
      <c r="G9" s="68"/>
      <c r="H9" s="64"/>
      <c r="I9" s="67"/>
      <c r="J9" s="68"/>
      <c r="K9" s="121"/>
      <c r="L9" s="67">
        <v>1302.8</v>
      </c>
      <c r="M9" s="68">
        <v>415.37754</v>
      </c>
      <c r="N9" s="152">
        <f t="shared" si="1"/>
        <v>31.883446423088735</v>
      </c>
      <c r="O9" s="67"/>
      <c r="P9" s="68"/>
      <c r="Q9" s="51"/>
      <c r="R9" s="67"/>
      <c r="S9" s="68"/>
      <c r="T9" s="119"/>
      <c r="U9" s="92"/>
      <c r="V9" s="55"/>
      <c r="W9" s="52"/>
      <c r="X9" s="67">
        <v>20</v>
      </c>
      <c r="Y9" s="55">
        <v>3.8196</v>
      </c>
      <c r="Z9" s="52">
        <f t="shared" si="2"/>
        <v>19.098</v>
      </c>
      <c r="AA9" s="67"/>
      <c r="AB9" s="68"/>
      <c r="AC9" s="52"/>
      <c r="AD9" s="67"/>
      <c r="AE9" s="68"/>
      <c r="AF9" s="52"/>
      <c r="AG9" s="67"/>
      <c r="AH9" s="68"/>
      <c r="AI9" s="51"/>
      <c r="AJ9" s="67">
        <v>6.1</v>
      </c>
      <c r="AK9" s="68">
        <v>2.36387</v>
      </c>
      <c r="AL9" s="794">
        <f>AK9/AJ9*100</f>
        <v>38.75196721311476</v>
      </c>
      <c r="AM9" s="159"/>
      <c r="AN9" s="68"/>
      <c r="AO9" s="52"/>
      <c r="AP9" s="67"/>
      <c r="AQ9" s="68"/>
      <c r="AR9" s="52"/>
      <c r="AS9" s="67">
        <v>94.7</v>
      </c>
      <c r="AT9" s="68">
        <v>39.11154</v>
      </c>
      <c r="AU9" s="52">
        <f aca="true" t="shared" si="7" ref="AU9:AU26">(AT9/AS9)*100</f>
        <v>41.300464625131994</v>
      </c>
      <c r="AV9" s="67"/>
      <c r="AW9" s="55"/>
      <c r="AX9" s="52"/>
      <c r="AY9" s="67">
        <v>411.018</v>
      </c>
      <c r="AZ9" s="68">
        <v>192.26338</v>
      </c>
      <c r="BA9" s="52">
        <f t="shared" si="3"/>
        <v>46.77736254859885</v>
      </c>
      <c r="BB9" s="159">
        <v>352.9</v>
      </c>
      <c r="BC9" s="68">
        <v>105.09931</v>
      </c>
      <c r="BD9" s="52">
        <f t="shared" si="4"/>
        <v>29.78161235477473</v>
      </c>
      <c r="BE9" s="67"/>
      <c r="BF9" s="68"/>
      <c r="BG9" s="52"/>
      <c r="BH9" s="67"/>
      <c r="BI9" s="68"/>
      <c r="BJ9" s="641"/>
      <c r="BK9" s="657"/>
      <c r="BL9" s="655"/>
      <c r="BM9" s="776"/>
      <c r="BN9" s="657"/>
      <c r="BO9" s="655"/>
      <c r="BP9" s="152"/>
      <c r="BQ9" s="159">
        <v>43.408</v>
      </c>
      <c r="BR9" s="68"/>
      <c r="BS9" s="644">
        <f>BR9/BQ9*100</f>
        <v>0</v>
      </c>
      <c r="BT9" s="159"/>
      <c r="BU9" s="68"/>
      <c r="BV9" s="121"/>
      <c r="BW9" s="67"/>
      <c r="BX9" s="68"/>
      <c r="BY9" s="52"/>
      <c r="BZ9" s="67">
        <v>6</v>
      </c>
      <c r="CA9" s="68"/>
      <c r="CB9" s="121">
        <f>(CA9/BZ9)*100</f>
        <v>0</v>
      </c>
      <c r="CC9" s="657"/>
      <c r="CD9" s="655"/>
      <c r="CE9" s="776"/>
      <c r="CF9" s="657"/>
      <c r="CG9" s="655"/>
      <c r="CH9" s="152"/>
      <c r="CI9" s="675"/>
      <c r="CJ9" s="655"/>
      <c r="CK9" s="284" t="e">
        <f t="shared" si="5"/>
        <v>#DIV/0!</v>
      </c>
      <c r="CL9" s="710"/>
      <c r="CM9" s="710"/>
      <c r="CN9" s="64" t="e">
        <f>(CM9/CL9)*100</f>
        <v>#DIV/0!</v>
      </c>
      <c r="CO9" s="159"/>
      <c r="CP9" s="159"/>
      <c r="CQ9" s="51"/>
      <c r="CR9" s="67"/>
      <c r="CS9" s="68"/>
      <c r="CT9" s="64"/>
      <c r="CU9" s="159"/>
      <c r="CV9" s="68"/>
      <c r="CW9" s="64"/>
      <c r="CX9" s="159"/>
      <c r="CY9" s="68"/>
      <c r="CZ9" s="64"/>
      <c r="DA9" s="159"/>
      <c r="DB9" s="68"/>
      <c r="DC9" s="70"/>
      <c r="DD9" s="67"/>
      <c r="DE9" s="68"/>
      <c r="DF9" s="64"/>
      <c r="DG9" s="159">
        <v>1130.2</v>
      </c>
      <c r="DH9" s="159">
        <f>94.2*6</f>
        <v>565.2</v>
      </c>
      <c r="DI9" s="64">
        <f>(DH9/DG9)*100</f>
        <v>50.00884799150593</v>
      </c>
      <c r="DJ9" s="67">
        <v>20</v>
      </c>
      <c r="DK9" s="68">
        <v>20</v>
      </c>
      <c r="DL9" s="70">
        <f aca="true" t="shared" si="8" ref="DL9:DL29">DK9/DJ9*100</f>
        <v>100</v>
      </c>
      <c r="DM9" s="67"/>
      <c r="DN9" s="68"/>
      <c r="DO9" s="70"/>
      <c r="DP9" s="67"/>
      <c r="DQ9" s="68"/>
      <c r="DR9" s="51"/>
      <c r="DS9" s="67">
        <v>27.169</v>
      </c>
      <c r="DT9" s="68">
        <v>27.169</v>
      </c>
      <c r="DU9" s="64">
        <f aca="true" t="shared" si="9" ref="DU9:DU26">DT9/DS9*100</f>
        <v>100</v>
      </c>
      <c r="DV9" s="159">
        <v>22.878</v>
      </c>
      <c r="DW9" s="68">
        <v>7.626</v>
      </c>
      <c r="DX9" s="70">
        <f aca="true" t="shared" si="10" ref="DX9:DX29">DW9/DV9*100</f>
        <v>33.333333333333336</v>
      </c>
      <c r="DY9" s="67"/>
      <c r="DZ9" s="68"/>
      <c r="EA9" s="64"/>
      <c r="EB9" s="159"/>
      <c r="EC9" s="68"/>
      <c r="ED9" s="64"/>
      <c r="EE9" s="159">
        <v>9</v>
      </c>
      <c r="EF9" s="68">
        <v>4.5</v>
      </c>
      <c r="EG9" s="64">
        <f>EF9/EE9*100</f>
        <v>50</v>
      </c>
      <c r="EH9" s="58">
        <f>C9+F9+I9+L9+O9+R9+U9+X9+AA9+AD9+AG9+AM9+AP9+AS9+AV9+AY9+BB9+BE9+BH9+BT9+BW9+BZ9+DJ9+EE9+BQ9+CI9+AJ9+DV9+DS9</f>
        <v>3045.973</v>
      </c>
      <c r="EI9" s="931">
        <f>D9+G9+J9+M9+P9+S9+V9+Y9+AB9+AE9+AH9+AN9+AQ9+AT9+AW9+AZ9+BC9+BF9+BI9+BU9+BX9+CA9+DK9+EF9+BR9+CJ9+AK9+DW9+DT9</f>
        <v>1139.38159</v>
      </c>
      <c r="EJ9" s="64">
        <f t="shared" si="6"/>
        <v>37.40616184056786</v>
      </c>
      <c r="EK9" s="274"/>
      <c r="EL9" s="71"/>
    </row>
    <row r="10" spans="1:142" s="2" customFormat="1" ht="20.25">
      <c r="A10" s="203" t="s">
        <v>5</v>
      </c>
      <c r="B10" s="215" t="s">
        <v>149</v>
      </c>
      <c r="C10" s="67">
        <v>857.768</v>
      </c>
      <c r="D10" s="70">
        <v>373.74467</v>
      </c>
      <c r="E10" s="52">
        <f t="shared" si="0"/>
        <v>43.57176649163876</v>
      </c>
      <c r="F10" s="67"/>
      <c r="G10" s="68"/>
      <c r="H10" s="64"/>
      <c r="I10" s="67"/>
      <c r="J10" s="68"/>
      <c r="K10" s="52"/>
      <c r="L10" s="67">
        <v>62.5</v>
      </c>
      <c r="M10" s="68">
        <v>29.46578</v>
      </c>
      <c r="N10" s="152">
        <f t="shared" si="1"/>
        <v>47.145248</v>
      </c>
      <c r="O10" s="67"/>
      <c r="P10" s="68"/>
      <c r="Q10" s="51"/>
      <c r="R10" s="67"/>
      <c r="S10" s="68"/>
      <c r="T10" s="119"/>
      <c r="U10" s="92"/>
      <c r="V10" s="55"/>
      <c r="W10" s="52"/>
      <c r="X10" s="67">
        <v>5</v>
      </c>
      <c r="Y10" s="55">
        <v>2.2</v>
      </c>
      <c r="Z10" s="52">
        <f t="shared" si="2"/>
        <v>44.00000000000001</v>
      </c>
      <c r="AA10" s="67"/>
      <c r="AB10" s="68"/>
      <c r="AC10" s="52"/>
      <c r="AD10" s="67"/>
      <c r="AE10" s="68"/>
      <c r="AF10" s="52"/>
      <c r="AG10" s="67"/>
      <c r="AH10" s="68"/>
      <c r="AI10" s="51"/>
      <c r="AJ10" s="67"/>
      <c r="AK10" s="68"/>
      <c r="AL10" s="64"/>
      <c r="AM10" s="159"/>
      <c r="AN10" s="68"/>
      <c r="AO10" s="52"/>
      <c r="AP10" s="67"/>
      <c r="AQ10" s="68"/>
      <c r="AR10" s="52"/>
      <c r="AS10" s="67"/>
      <c r="AT10" s="68"/>
      <c r="AU10" s="284" t="e">
        <f t="shared" si="7"/>
        <v>#DIV/0!</v>
      </c>
      <c r="AV10" s="67"/>
      <c r="AW10" s="55"/>
      <c r="AX10" s="52"/>
      <c r="AY10" s="67">
        <v>145.2</v>
      </c>
      <c r="AZ10" s="68">
        <v>68.63992</v>
      </c>
      <c r="BA10" s="52">
        <f t="shared" si="3"/>
        <v>47.27267217630855</v>
      </c>
      <c r="BB10" s="159">
        <v>139.54682</v>
      </c>
      <c r="BC10" s="68">
        <v>60.32644</v>
      </c>
      <c r="BD10" s="52">
        <f t="shared" si="4"/>
        <v>43.23025060692892</v>
      </c>
      <c r="BE10" s="67"/>
      <c r="BF10" s="68"/>
      <c r="BG10" s="52"/>
      <c r="BH10" s="67">
        <v>6</v>
      </c>
      <c r="BI10" s="68">
        <v>2.55</v>
      </c>
      <c r="BJ10" s="641">
        <f>(BI10/BH10)*100</f>
        <v>42.5</v>
      </c>
      <c r="BK10" s="657"/>
      <c r="BL10" s="655"/>
      <c r="BM10" s="776"/>
      <c r="BN10" s="657"/>
      <c r="BO10" s="655"/>
      <c r="BP10" s="152"/>
      <c r="BQ10" s="159"/>
      <c r="BR10" s="68"/>
      <c r="BS10" s="644"/>
      <c r="BT10" s="159"/>
      <c r="BU10" s="68"/>
      <c r="BV10" s="52"/>
      <c r="BW10" s="67"/>
      <c r="BX10" s="68"/>
      <c r="BY10" s="52"/>
      <c r="BZ10" s="67"/>
      <c r="CA10" s="68"/>
      <c r="CB10" s="681" t="e">
        <f aca="true" t="shared" si="11" ref="CB10:CB26">(CA10/BZ10)*100</f>
        <v>#DIV/0!</v>
      </c>
      <c r="CC10" s="680"/>
      <c r="CD10" s="677"/>
      <c r="CE10" s="795"/>
      <c r="CF10" s="657"/>
      <c r="CG10" s="655"/>
      <c r="CH10" s="152"/>
      <c r="CI10" s="675"/>
      <c r="CJ10" s="655"/>
      <c r="CK10" s="284" t="e">
        <f t="shared" si="5"/>
        <v>#DIV/0!</v>
      </c>
      <c r="CL10" s="710"/>
      <c r="CM10" s="710"/>
      <c r="CN10" s="64" t="e">
        <f>(CM10/CL10)*100</f>
        <v>#DIV/0!</v>
      </c>
      <c r="CO10" s="159"/>
      <c r="CP10" s="159"/>
      <c r="CQ10" s="691" t="e">
        <f>(CP10/CO10)*100</f>
        <v>#DIV/0!</v>
      </c>
      <c r="CR10" s="67"/>
      <c r="CS10" s="68"/>
      <c r="CT10" s="64"/>
      <c r="CU10" s="159"/>
      <c r="CV10" s="68"/>
      <c r="CW10" s="64"/>
      <c r="CX10" s="159"/>
      <c r="CY10" s="68"/>
      <c r="CZ10" s="64"/>
      <c r="DA10" s="159"/>
      <c r="DB10" s="68"/>
      <c r="DC10" s="70"/>
      <c r="DD10" s="67"/>
      <c r="DE10" s="68"/>
      <c r="DF10" s="64"/>
      <c r="DG10" s="159">
        <v>193.4</v>
      </c>
      <c r="DH10" s="159">
        <f>16.1*5+3.784</f>
        <v>84.284</v>
      </c>
      <c r="DI10" s="64">
        <f>(DH10/DG10)*100</f>
        <v>43.58014477766288</v>
      </c>
      <c r="DJ10" s="67">
        <v>2</v>
      </c>
      <c r="DK10" s="68">
        <v>2</v>
      </c>
      <c r="DL10" s="70">
        <f t="shared" si="8"/>
        <v>100</v>
      </c>
      <c r="DM10" s="67"/>
      <c r="DN10" s="68"/>
      <c r="DO10" s="70"/>
      <c r="DP10" s="67"/>
      <c r="DQ10" s="68"/>
      <c r="DR10" s="51"/>
      <c r="DS10" s="67">
        <v>25.472</v>
      </c>
      <c r="DT10" s="68">
        <v>25.472</v>
      </c>
      <c r="DU10" s="64">
        <f t="shared" si="9"/>
        <v>100</v>
      </c>
      <c r="DV10" s="159">
        <v>29.76</v>
      </c>
      <c r="DW10" s="68">
        <v>9.92</v>
      </c>
      <c r="DX10" s="70">
        <f t="shared" si="10"/>
        <v>33.33333333333333</v>
      </c>
      <c r="DY10" s="67"/>
      <c r="DZ10" s="68"/>
      <c r="EA10" s="64"/>
      <c r="EB10" s="159"/>
      <c r="EC10" s="68"/>
      <c r="ED10" s="64"/>
      <c r="EE10" s="159">
        <v>8</v>
      </c>
      <c r="EF10" s="68"/>
      <c r="EG10" s="64">
        <f>EF10/EE10*100</f>
        <v>0</v>
      </c>
      <c r="EH10" s="67">
        <f>C10+F10+I10+L10+O10+R10+U10+X10+AA10+AD10+AG10+AM10+AP10+AS10+AV10+AY10+BB10+BE10+BH10+BT10+BW10+BZ10+CO10+EE10+DJ10+CI10+DV10+DS10</f>
        <v>1281.24682</v>
      </c>
      <c r="EI10" s="932">
        <f>D10+G10+J10+M10+P10+S10+V10+Y10+AB10+AE10+AH10+AN10+AQ10+AT10+AW10+AZ10+BC10+BF10+BI10+BU10+BX10+CA10+CP10+EF10+DK10+CJ10+DW10+DT10</f>
        <v>574.3188099999999</v>
      </c>
      <c r="EJ10" s="64">
        <f t="shared" si="6"/>
        <v>44.82499398515579</v>
      </c>
      <c r="EK10" s="274"/>
      <c r="EL10" s="71"/>
    </row>
    <row r="11" spans="1:142" s="2" customFormat="1" ht="20.25">
      <c r="A11" s="203" t="s">
        <v>7</v>
      </c>
      <c r="B11" s="215" t="s">
        <v>150</v>
      </c>
      <c r="C11" s="67">
        <v>360.56</v>
      </c>
      <c r="D11" s="70">
        <v>157.10225</v>
      </c>
      <c r="E11" s="52">
        <f t="shared" si="0"/>
        <v>43.57173563345906</v>
      </c>
      <c r="F11" s="67"/>
      <c r="G11" s="68"/>
      <c r="H11" s="64"/>
      <c r="I11" s="67"/>
      <c r="J11" s="68"/>
      <c r="K11" s="52"/>
      <c r="L11" s="67">
        <v>589</v>
      </c>
      <c r="M11" s="68">
        <v>207.95583</v>
      </c>
      <c r="N11" s="152">
        <f t="shared" si="1"/>
        <v>35.306592529711374</v>
      </c>
      <c r="O11" s="67"/>
      <c r="P11" s="68"/>
      <c r="Q11" s="51"/>
      <c r="R11" s="67">
        <v>26.912</v>
      </c>
      <c r="S11" s="68">
        <v>12.00456</v>
      </c>
      <c r="T11" s="52">
        <f>(S11/R11)*100</f>
        <v>44.606718192627824</v>
      </c>
      <c r="U11" s="92"/>
      <c r="V11" s="55"/>
      <c r="W11" s="52"/>
      <c r="X11" s="67">
        <v>3</v>
      </c>
      <c r="Y11" s="55">
        <v>1.54</v>
      </c>
      <c r="Z11" s="52">
        <f t="shared" si="2"/>
        <v>51.33333333333333</v>
      </c>
      <c r="AA11" s="67"/>
      <c r="AB11" s="68"/>
      <c r="AC11" s="52"/>
      <c r="AD11" s="67"/>
      <c r="AE11" s="68"/>
      <c r="AF11" s="52"/>
      <c r="AG11" s="67"/>
      <c r="AH11" s="68"/>
      <c r="AI11" s="51"/>
      <c r="AJ11" s="67">
        <v>21.228</v>
      </c>
      <c r="AK11" s="68"/>
      <c r="AL11" s="64">
        <f>AK11/AJ11*100</f>
        <v>0</v>
      </c>
      <c r="AM11" s="159"/>
      <c r="AN11" s="68"/>
      <c r="AO11" s="52"/>
      <c r="AP11" s="67"/>
      <c r="AQ11" s="68"/>
      <c r="AR11" s="52"/>
      <c r="AS11" s="67"/>
      <c r="AT11" s="68"/>
      <c r="AU11" s="284" t="e">
        <f t="shared" si="7"/>
        <v>#DIV/0!</v>
      </c>
      <c r="AV11" s="67"/>
      <c r="AW11" s="55"/>
      <c r="AX11" s="52"/>
      <c r="AY11" s="67">
        <v>22</v>
      </c>
      <c r="AZ11" s="68">
        <v>9.23486</v>
      </c>
      <c r="BA11" s="52">
        <f t="shared" si="3"/>
        <v>41.97663636363636</v>
      </c>
      <c r="BB11" s="159">
        <v>141.5246</v>
      </c>
      <c r="BC11" s="68">
        <v>45.82082</v>
      </c>
      <c r="BD11" s="52">
        <f t="shared" si="4"/>
        <v>32.37657622773709</v>
      </c>
      <c r="BE11" s="67"/>
      <c r="BF11" s="68"/>
      <c r="BG11" s="52"/>
      <c r="BH11" s="67">
        <v>10</v>
      </c>
      <c r="BI11" s="68"/>
      <c r="BJ11" s="641">
        <f>(BI11/BH11)*100</f>
        <v>0</v>
      </c>
      <c r="BK11" s="657"/>
      <c r="BL11" s="655"/>
      <c r="BM11" s="776"/>
      <c r="BN11" s="657"/>
      <c r="BO11" s="655"/>
      <c r="BP11" s="152"/>
      <c r="BQ11" s="159">
        <v>195</v>
      </c>
      <c r="BR11" s="68"/>
      <c r="BS11" s="644">
        <f>BR11/BQ11*100</f>
        <v>0</v>
      </c>
      <c r="BT11" s="159"/>
      <c r="BU11" s="68"/>
      <c r="BV11" s="52"/>
      <c r="BW11" s="67"/>
      <c r="BX11" s="68"/>
      <c r="BY11" s="52"/>
      <c r="BZ11" s="67"/>
      <c r="CA11" s="68"/>
      <c r="CB11" s="681" t="e">
        <f t="shared" si="11"/>
        <v>#DIV/0!</v>
      </c>
      <c r="CC11" s="680"/>
      <c r="CD11" s="677"/>
      <c r="CE11" s="795"/>
      <c r="CF11" s="657"/>
      <c r="CG11" s="655"/>
      <c r="CH11" s="152"/>
      <c r="CI11" s="675">
        <v>4.9</v>
      </c>
      <c r="CJ11" s="655">
        <v>4.04056</v>
      </c>
      <c r="CK11" s="52">
        <f t="shared" si="5"/>
        <v>82.46040816326531</v>
      </c>
      <c r="CL11" s="710"/>
      <c r="CM11" s="710"/>
      <c r="CN11" s="64" t="e">
        <f aca="true" t="shared" si="12" ref="CN11:CN29">CM11/CL11*100</f>
        <v>#DIV/0!</v>
      </c>
      <c r="CO11" s="92"/>
      <c r="CP11" s="92"/>
      <c r="CQ11" s="691"/>
      <c r="CR11" s="67"/>
      <c r="CS11" s="68"/>
      <c r="CT11" s="64"/>
      <c r="CU11" s="159"/>
      <c r="CV11" s="68"/>
      <c r="CW11" s="64"/>
      <c r="CX11" s="159"/>
      <c r="CY11" s="68"/>
      <c r="CZ11" s="64"/>
      <c r="DA11" s="159"/>
      <c r="DB11" s="68"/>
      <c r="DC11" s="70"/>
      <c r="DD11" s="67"/>
      <c r="DE11" s="68"/>
      <c r="DF11" s="64"/>
      <c r="DG11" s="159">
        <v>573.7</v>
      </c>
      <c r="DH11" s="159">
        <f>47.8*6</f>
        <v>286.79999999999995</v>
      </c>
      <c r="DI11" s="64">
        <f aca="true" t="shared" si="13" ref="DI11:DI29">DH11/DG11*100</f>
        <v>49.99128464354191</v>
      </c>
      <c r="DJ11" s="67">
        <v>10</v>
      </c>
      <c r="DK11" s="68">
        <v>10</v>
      </c>
      <c r="DL11" s="70">
        <f t="shared" si="8"/>
        <v>100</v>
      </c>
      <c r="DM11" s="67"/>
      <c r="DN11" s="68"/>
      <c r="DO11" s="70"/>
      <c r="DP11" s="67"/>
      <c r="DQ11" s="68"/>
      <c r="DR11" s="51"/>
      <c r="DS11" s="67">
        <v>10.1</v>
      </c>
      <c r="DT11" s="68">
        <v>10.1</v>
      </c>
      <c r="DU11" s="64">
        <f t="shared" si="9"/>
        <v>100</v>
      </c>
      <c r="DV11" s="159">
        <v>5.6</v>
      </c>
      <c r="DW11" s="68">
        <v>5.6</v>
      </c>
      <c r="DX11" s="70">
        <f t="shared" si="10"/>
        <v>100</v>
      </c>
      <c r="DY11" s="67"/>
      <c r="DZ11" s="68"/>
      <c r="EA11" s="64"/>
      <c r="EB11" s="159"/>
      <c r="EC11" s="68"/>
      <c r="ED11" s="64"/>
      <c r="EE11" s="159">
        <v>3.8</v>
      </c>
      <c r="EF11" s="68">
        <v>3.8</v>
      </c>
      <c r="EG11" s="64">
        <f>EF11/EE11*100</f>
        <v>100</v>
      </c>
      <c r="EH11" s="67">
        <f>C11+F11+I11+L11+O11+R11+U11+X11+AA11+AD11+AG11+AM11+AP11+AS11+AV11+AY11+BB11+BE11+BH11+BT11+BW11+BZ11+EE11+DJ11+BQ11+CI11+AJ11+DV11+DS11</f>
        <v>1403.6245999999999</v>
      </c>
      <c r="EI11" s="159">
        <f>D11+G11+J11+M11+P11+S11+V11+Y11+AB11+AE11+AH11+AN11+AQ11+AT11+AW11+AZ11+BC11+BF11+BI11+BU11+BX11+CA11+EF11+DK11+BR11+CJ11+AK11+DW11+DT11</f>
        <v>467.1988800000002</v>
      </c>
      <c r="EJ11" s="64">
        <f t="shared" si="6"/>
        <v>33.28517325786398</v>
      </c>
      <c r="EK11" s="274"/>
      <c r="EL11" s="71"/>
    </row>
    <row r="12" spans="1:142" s="2" customFormat="1" ht="20.25">
      <c r="A12" s="203" t="s">
        <v>9</v>
      </c>
      <c r="B12" s="214" t="s">
        <v>151</v>
      </c>
      <c r="C12" s="67">
        <v>1111.3</v>
      </c>
      <c r="D12" s="70">
        <v>394.75762</v>
      </c>
      <c r="E12" s="52">
        <f t="shared" si="0"/>
        <v>35.522147035004046</v>
      </c>
      <c r="F12" s="67"/>
      <c r="G12" s="68"/>
      <c r="H12" s="64"/>
      <c r="I12" s="67"/>
      <c r="J12" s="68"/>
      <c r="K12" s="52"/>
      <c r="L12" s="67">
        <v>2050.5</v>
      </c>
      <c r="M12" s="68">
        <v>815.24662</v>
      </c>
      <c r="N12" s="152">
        <f t="shared" si="1"/>
        <v>39.75843062667642</v>
      </c>
      <c r="O12" s="67"/>
      <c r="P12" s="68"/>
      <c r="Q12" s="51"/>
      <c r="R12" s="67">
        <v>133.6</v>
      </c>
      <c r="S12" s="68">
        <v>47.26388</v>
      </c>
      <c r="T12" s="52">
        <f>(S12/R12)*100</f>
        <v>35.37715568862276</v>
      </c>
      <c r="U12" s="92"/>
      <c r="V12" s="55"/>
      <c r="W12" s="52"/>
      <c r="X12" s="67">
        <v>10</v>
      </c>
      <c r="Y12" s="55">
        <v>4</v>
      </c>
      <c r="Z12" s="52">
        <f t="shared" si="2"/>
        <v>40</v>
      </c>
      <c r="AA12" s="67"/>
      <c r="AB12" s="68"/>
      <c r="AC12" s="52"/>
      <c r="AD12" s="67"/>
      <c r="AE12" s="68"/>
      <c r="AF12" s="52"/>
      <c r="AG12" s="67"/>
      <c r="AH12" s="68"/>
      <c r="AI12" s="51"/>
      <c r="AJ12" s="67"/>
      <c r="AK12" s="68"/>
      <c r="AL12" s="64"/>
      <c r="AM12" s="159"/>
      <c r="AN12" s="68"/>
      <c r="AO12" s="52"/>
      <c r="AP12" s="67"/>
      <c r="AQ12" s="68"/>
      <c r="AR12" s="52"/>
      <c r="AS12" s="67"/>
      <c r="AT12" s="68"/>
      <c r="AU12" s="284" t="e">
        <f t="shared" si="7"/>
        <v>#DIV/0!</v>
      </c>
      <c r="AV12" s="67"/>
      <c r="AW12" s="55"/>
      <c r="AX12" s="52"/>
      <c r="AY12" s="67">
        <v>115.36788</v>
      </c>
      <c r="AZ12" s="68">
        <v>36.90631</v>
      </c>
      <c r="BA12" s="52">
        <f t="shared" si="3"/>
        <v>31.990108512005243</v>
      </c>
      <c r="BB12" s="159">
        <v>562.31807</v>
      </c>
      <c r="BC12" s="68">
        <v>210.22842</v>
      </c>
      <c r="BD12" s="121">
        <f t="shared" si="4"/>
        <v>37.3860331395717</v>
      </c>
      <c r="BE12" s="67"/>
      <c r="BF12" s="68"/>
      <c r="BG12" s="52"/>
      <c r="BH12" s="67">
        <v>477.1</v>
      </c>
      <c r="BI12" s="159">
        <v>170.28958</v>
      </c>
      <c r="BJ12" s="641">
        <f>(BI12/BH12)*100</f>
        <v>35.69263885977782</v>
      </c>
      <c r="BK12" s="657"/>
      <c r="BL12" s="655"/>
      <c r="BM12" s="776"/>
      <c r="BN12" s="657"/>
      <c r="BO12" s="655"/>
      <c r="BP12" s="152"/>
      <c r="BQ12" s="159">
        <v>205.816</v>
      </c>
      <c r="BR12" s="68">
        <v>4.604</v>
      </c>
      <c r="BS12" s="644">
        <f>BR12/BQ12*100</f>
        <v>2.2369495082986743</v>
      </c>
      <c r="BT12" s="159"/>
      <c r="BU12" s="68"/>
      <c r="BV12" s="52"/>
      <c r="BW12" s="67"/>
      <c r="BX12" s="68"/>
      <c r="BY12" s="52"/>
      <c r="BZ12" s="67">
        <v>1</v>
      </c>
      <c r="CA12" s="68"/>
      <c r="CB12" s="152">
        <v>0</v>
      </c>
      <c r="CC12" s="657"/>
      <c r="CD12" s="655"/>
      <c r="CE12" s="776"/>
      <c r="CF12" s="657"/>
      <c r="CG12" s="655"/>
      <c r="CH12" s="152"/>
      <c r="CI12" s="675"/>
      <c r="CJ12" s="655"/>
      <c r="CK12" s="735" t="e">
        <f t="shared" si="5"/>
        <v>#DIV/0!</v>
      </c>
      <c r="CL12" s="710"/>
      <c r="CM12" s="710"/>
      <c r="CN12" s="64" t="e">
        <f t="shared" si="12"/>
        <v>#DIV/0!</v>
      </c>
      <c r="CO12" s="159"/>
      <c r="CP12" s="159"/>
      <c r="CQ12" s="691"/>
      <c r="CR12" s="67"/>
      <c r="CS12" s="68"/>
      <c r="CT12" s="64"/>
      <c r="CU12" s="159"/>
      <c r="CV12" s="68"/>
      <c r="CW12" s="64"/>
      <c r="CX12" s="159"/>
      <c r="CY12" s="68"/>
      <c r="CZ12" s="64"/>
      <c r="DA12" s="159"/>
      <c r="DB12" s="68"/>
      <c r="DC12" s="70"/>
      <c r="DD12" s="67"/>
      <c r="DE12" s="68"/>
      <c r="DF12" s="64"/>
      <c r="DG12" s="159">
        <v>2098.3</v>
      </c>
      <c r="DH12" s="159">
        <f>174.9*6</f>
        <v>1049.4</v>
      </c>
      <c r="DI12" s="64">
        <f t="shared" si="13"/>
        <v>50.01191440690083</v>
      </c>
      <c r="DJ12" s="67"/>
      <c r="DK12" s="68"/>
      <c r="DL12" s="70"/>
      <c r="DM12" s="67"/>
      <c r="DN12" s="68"/>
      <c r="DO12" s="70"/>
      <c r="DP12" s="67"/>
      <c r="DQ12" s="68"/>
      <c r="DR12" s="51"/>
      <c r="DS12" s="67">
        <v>24.562</v>
      </c>
      <c r="DT12" s="68">
        <v>24.562</v>
      </c>
      <c r="DU12" s="64">
        <f t="shared" si="9"/>
        <v>100</v>
      </c>
      <c r="DV12" s="159">
        <v>23.622</v>
      </c>
      <c r="DW12" s="68">
        <v>23.622</v>
      </c>
      <c r="DX12" s="70">
        <f t="shared" si="10"/>
        <v>100</v>
      </c>
      <c r="DY12" s="67"/>
      <c r="DZ12" s="68"/>
      <c r="EA12" s="64"/>
      <c r="EB12" s="159"/>
      <c r="EC12" s="68"/>
      <c r="ED12" s="64"/>
      <c r="EE12" s="159">
        <v>8.2</v>
      </c>
      <c r="EF12" s="68">
        <v>8.2</v>
      </c>
      <c r="EG12" s="64">
        <f>EF12/EE12*100</f>
        <v>100</v>
      </c>
      <c r="EH12" s="67">
        <f>C12+F12+I12+L12+O12+R12+U12+X12+AA12+AD12+AG12+AM12+AP12+AS12+AV12+AY12+BB12+BE12+BH12+BT12+BW12+BZ12+EE12+DJ12+CI12+BQ12+DV12+DS12</f>
        <v>4723.38595</v>
      </c>
      <c r="EI12" s="159">
        <f>D12+G12+J12+M12+P12+S12+V12+Y12+AB12+AE12+AH12+AN12+AQ12+AT12+AW12+AZ12+BC12+BF12+BI12+BU12+BX12+CA12+EF12+DK12+CJ12+DW12+DT12+BR12</f>
        <v>1739.6804300000001</v>
      </c>
      <c r="EJ12" s="64">
        <f t="shared" si="6"/>
        <v>36.83121490421506</v>
      </c>
      <c r="EK12" s="274"/>
      <c r="EL12" s="71"/>
    </row>
    <row r="13" spans="1:142" s="2" customFormat="1" ht="20.25">
      <c r="A13" s="203" t="s">
        <v>11</v>
      </c>
      <c r="B13" s="214" t="s">
        <v>152</v>
      </c>
      <c r="C13" s="67">
        <v>490.6</v>
      </c>
      <c r="D13" s="70">
        <v>203.36303</v>
      </c>
      <c r="E13" s="52">
        <f t="shared" si="0"/>
        <v>41.451901752955564</v>
      </c>
      <c r="F13" s="67"/>
      <c r="G13" s="68"/>
      <c r="H13" s="64"/>
      <c r="I13" s="67"/>
      <c r="J13" s="68"/>
      <c r="K13" s="52"/>
      <c r="L13" s="67">
        <v>1344.6</v>
      </c>
      <c r="M13" s="68">
        <v>532.36781</v>
      </c>
      <c r="N13" s="152">
        <f t="shared" si="1"/>
        <v>39.593024691358025</v>
      </c>
      <c r="O13" s="67"/>
      <c r="P13" s="68"/>
      <c r="Q13" s="51"/>
      <c r="R13" s="67">
        <v>76.1</v>
      </c>
      <c r="S13" s="68">
        <v>21.19294</v>
      </c>
      <c r="T13" s="52">
        <f>(S13/R13)*100</f>
        <v>27.84880420499343</v>
      </c>
      <c r="U13" s="92"/>
      <c r="V13" s="55"/>
      <c r="W13" s="52"/>
      <c r="X13" s="67">
        <v>5.7</v>
      </c>
      <c r="Y13" s="55">
        <v>2</v>
      </c>
      <c r="Z13" s="52">
        <f t="shared" si="2"/>
        <v>35.08771929824561</v>
      </c>
      <c r="AA13" s="67"/>
      <c r="AB13" s="68"/>
      <c r="AC13" s="52"/>
      <c r="AD13" s="67"/>
      <c r="AE13" s="68"/>
      <c r="AF13" s="52"/>
      <c r="AG13" s="67"/>
      <c r="AH13" s="68"/>
      <c r="AI13" s="51"/>
      <c r="AJ13" s="67"/>
      <c r="AK13" s="68"/>
      <c r="AL13" s="64"/>
      <c r="AM13" s="159"/>
      <c r="AN13" s="68"/>
      <c r="AO13" s="52"/>
      <c r="AP13" s="67"/>
      <c r="AQ13" s="68"/>
      <c r="AR13" s="52"/>
      <c r="AS13" s="67"/>
      <c r="AT13" s="68"/>
      <c r="AU13" s="284" t="e">
        <f t="shared" si="7"/>
        <v>#DIV/0!</v>
      </c>
      <c r="AV13" s="67"/>
      <c r="AW13" s="55"/>
      <c r="AX13" s="52"/>
      <c r="AY13" s="67">
        <v>208.1</v>
      </c>
      <c r="AZ13" s="68">
        <v>34.18713</v>
      </c>
      <c r="BA13" s="52">
        <f t="shared" si="3"/>
        <v>16.42822200864969</v>
      </c>
      <c r="BB13" s="159">
        <v>134.7</v>
      </c>
      <c r="BC13" s="68">
        <v>44.40322</v>
      </c>
      <c r="BD13" s="52">
        <f t="shared" si="4"/>
        <v>32.964528582034156</v>
      </c>
      <c r="BE13" s="67"/>
      <c r="BF13" s="68"/>
      <c r="BG13" s="52"/>
      <c r="BH13" s="67"/>
      <c r="BI13" s="68"/>
      <c r="BJ13" s="641"/>
      <c r="BK13" s="657"/>
      <c r="BL13" s="655"/>
      <c r="BM13" s="776"/>
      <c r="BN13" s="657"/>
      <c r="BO13" s="655"/>
      <c r="BP13" s="152"/>
      <c r="BQ13" s="159"/>
      <c r="BR13" s="68"/>
      <c r="BS13" s="644"/>
      <c r="BT13" s="159"/>
      <c r="BU13" s="68"/>
      <c r="BV13" s="52"/>
      <c r="BW13" s="67"/>
      <c r="BX13" s="68"/>
      <c r="BY13" s="52"/>
      <c r="BZ13" s="67"/>
      <c r="CA13" s="68"/>
      <c r="CB13" s="681" t="e">
        <f t="shared" si="11"/>
        <v>#DIV/0!</v>
      </c>
      <c r="CC13" s="680"/>
      <c r="CD13" s="677"/>
      <c r="CE13" s="795"/>
      <c r="CF13" s="657"/>
      <c r="CG13" s="655"/>
      <c r="CH13" s="152"/>
      <c r="CI13" s="675"/>
      <c r="CJ13" s="655"/>
      <c r="CK13" s="284" t="e">
        <f t="shared" si="5"/>
        <v>#DIV/0!</v>
      </c>
      <c r="CL13" s="710"/>
      <c r="CM13" s="710"/>
      <c r="CN13" s="64" t="e">
        <f t="shared" si="12"/>
        <v>#DIV/0!</v>
      </c>
      <c r="CO13" s="159"/>
      <c r="CP13" s="159"/>
      <c r="CQ13" s="691"/>
      <c r="CR13" s="67"/>
      <c r="CS13" s="68"/>
      <c r="CT13" s="64"/>
      <c r="CU13" s="159"/>
      <c r="CV13" s="68"/>
      <c r="CW13" s="64"/>
      <c r="CX13" s="159"/>
      <c r="CY13" s="68"/>
      <c r="CZ13" s="64"/>
      <c r="DA13" s="159"/>
      <c r="DB13" s="68"/>
      <c r="DC13" s="70"/>
      <c r="DD13" s="67"/>
      <c r="DE13" s="68"/>
      <c r="DF13" s="64"/>
      <c r="DG13" s="159">
        <v>1308.1</v>
      </c>
      <c r="DH13" s="159">
        <f>109*6</f>
        <v>654</v>
      </c>
      <c r="DI13" s="64">
        <f t="shared" si="13"/>
        <v>49.99617766225824</v>
      </c>
      <c r="DJ13" s="67"/>
      <c r="DK13" s="68"/>
      <c r="DL13" s="70"/>
      <c r="DM13" s="67"/>
      <c r="DN13" s="68"/>
      <c r="DO13" s="70"/>
      <c r="DP13" s="67"/>
      <c r="DQ13" s="68"/>
      <c r="DR13" s="51"/>
      <c r="DS13" s="67">
        <v>23.797</v>
      </c>
      <c r="DT13" s="68">
        <v>23.797</v>
      </c>
      <c r="DU13" s="64">
        <f t="shared" si="9"/>
        <v>100</v>
      </c>
      <c r="DV13" s="159">
        <v>13.02</v>
      </c>
      <c r="DW13" s="68">
        <v>4.341</v>
      </c>
      <c r="DX13" s="70">
        <f t="shared" si="10"/>
        <v>33.3410138248848</v>
      </c>
      <c r="DY13" s="67"/>
      <c r="DZ13" s="68"/>
      <c r="EA13" s="64"/>
      <c r="EB13" s="159"/>
      <c r="EC13" s="68"/>
      <c r="ED13" s="64"/>
      <c r="EE13" s="159">
        <v>7.3</v>
      </c>
      <c r="EF13" s="68">
        <v>7.3</v>
      </c>
      <c r="EG13" s="64">
        <f aca="true" t="shared" si="14" ref="EG13:EG29">EF13/EE13*100</f>
        <v>100</v>
      </c>
      <c r="EH13" s="67">
        <f>C13+F13+I13+L13+O13+R13+U13+X13+AA13+AD13+AG13+AM13+AP13+AS13+AV13+AY13+BB13+BE13+BH13+BT13+BW13+BZ13+EE13+DJ13+CI13+DV13+DS13</f>
        <v>2303.917</v>
      </c>
      <c r="EI13" s="932">
        <f>D13+G13+J13+M13+P13+S13+V13+Y13+AB13+AE13+AH13+AN13+AQ13+AT13+AW13+AZ13+BC13+BF13+BI13+BU13+BX13+CA13+EF13+DK13+CJ13+DW13+DT13</f>
        <v>872.95213</v>
      </c>
      <c r="EJ13" s="64">
        <f t="shared" si="6"/>
        <v>37.88991226680476</v>
      </c>
      <c r="EK13" s="274"/>
      <c r="EL13" s="71"/>
    </row>
    <row r="14" spans="1:142" s="2" customFormat="1" ht="20.25">
      <c r="A14" s="203" t="s">
        <v>13</v>
      </c>
      <c r="B14" s="215" t="s">
        <v>153</v>
      </c>
      <c r="C14" s="67">
        <v>545.5</v>
      </c>
      <c r="D14" s="70">
        <v>231.05316</v>
      </c>
      <c r="E14" s="52">
        <f t="shared" si="0"/>
        <v>42.35621631530705</v>
      </c>
      <c r="F14" s="67"/>
      <c r="G14" s="68"/>
      <c r="H14" s="64"/>
      <c r="I14" s="67"/>
      <c r="J14" s="68"/>
      <c r="K14" s="52"/>
      <c r="L14" s="67">
        <v>1216.3</v>
      </c>
      <c r="M14" s="68">
        <v>444.04877</v>
      </c>
      <c r="N14" s="152">
        <f t="shared" si="1"/>
        <v>36.508161637753844</v>
      </c>
      <c r="O14" s="67"/>
      <c r="P14" s="68"/>
      <c r="Q14" s="51"/>
      <c r="R14" s="67"/>
      <c r="S14" s="68"/>
      <c r="T14" s="284" t="e">
        <f>(S14/R14)*100</f>
        <v>#DIV/0!</v>
      </c>
      <c r="U14" s="92"/>
      <c r="V14" s="55"/>
      <c r="W14" s="52"/>
      <c r="X14" s="67">
        <v>20</v>
      </c>
      <c r="Y14" s="55"/>
      <c r="Z14" s="52">
        <f t="shared" si="2"/>
        <v>0</v>
      </c>
      <c r="AA14" s="67"/>
      <c r="AB14" s="68"/>
      <c r="AC14" s="52"/>
      <c r="AD14" s="67"/>
      <c r="AE14" s="68"/>
      <c r="AF14" s="52"/>
      <c r="AG14" s="67"/>
      <c r="AH14" s="68"/>
      <c r="AI14" s="51"/>
      <c r="AJ14" s="67"/>
      <c r="AK14" s="68"/>
      <c r="AL14" s="64"/>
      <c r="AM14" s="159"/>
      <c r="AN14" s="68"/>
      <c r="AO14" s="52"/>
      <c r="AP14" s="67"/>
      <c r="AQ14" s="68"/>
      <c r="AR14" s="52"/>
      <c r="AS14" s="67">
        <v>30</v>
      </c>
      <c r="AT14" s="68">
        <v>30</v>
      </c>
      <c r="AU14" s="52">
        <f t="shared" si="7"/>
        <v>100</v>
      </c>
      <c r="AV14" s="67"/>
      <c r="AW14" s="55"/>
      <c r="AX14" s="52"/>
      <c r="AY14" s="67">
        <v>221.052</v>
      </c>
      <c r="AZ14" s="68">
        <v>102.19196</v>
      </c>
      <c r="BA14" s="52">
        <f t="shared" si="3"/>
        <v>46.22982827569984</v>
      </c>
      <c r="BB14" s="159">
        <v>486.6</v>
      </c>
      <c r="BC14" s="68">
        <v>110.59868</v>
      </c>
      <c r="BD14" s="52">
        <f t="shared" si="4"/>
        <v>22.728869708179204</v>
      </c>
      <c r="BE14" s="67"/>
      <c r="BF14" s="68"/>
      <c r="BG14" s="52"/>
      <c r="BH14" s="67">
        <v>374.8</v>
      </c>
      <c r="BI14" s="159">
        <v>205.74225</v>
      </c>
      <c r="BJ14" s="641">
        <f>(BI14/BH14)*100</f>
        <v>54.89387673425827</v>
      </c>
      <c r="BK14" s="657"/>
      <c r="BL14" s="655"/>
      <c r="BM14" s="776"/>
      <c r="BN14" s="657"/>
      <c r="BO14" s="655"/>
      <c r="BP14" s="152"/>
      <c r="BQ14" s="159">
        <v>500</v>
      </c>
      <c r="BR14" s="68">
        <v>388.013</v>
      </c>
      <c r="BS14" s="644">
        <f>BR14/BQ14*100</f>
        <v>77.6026</v>
      </c>
      <c r="BT14" s="159"/>
      <c r="BU14" s="68"/>
      <c r="BV14" s="52"/>
      <c r="BW14" s="67"/>
      <c r="BX14" s="68"/>
      <c r="BY14" s="52"/>
      <c r="BZ14" s="67"/>
      <c r="CA14" s="68"/>
      <c r="CB14" s="681" t="e">
        <f t="shared" si="11"/>
        <v>#DIV/0!</v>
      </c>
      <c r="CC14" s="680"/>
      <c r="CD14" s="677"/>
      <c r="CE14" s="795"/>
      <c r="CF14" s="657"/>
      <c r="CG14" s="655"/>
      <c r="CH14" s="152"/>
      <c r="CI14" s="675"/>
      <c r="CJ14" s="655"/>
      <c r="CK14" s="284" t="e">
        <f t="shared" si="5"/>
        <v>#DIV/0!</v>
      </c>
      <c r="CL14" s="710"/>
      <c r="CM14" s="710"/>
      <c r="CN14" s="64" t="e">
        <f t="shared" si="12"/>
        <v>#DIV/0!</v>
      </c>
      <c r="CO14" s="159"/>
      <c r="CP14" s="159"/>
      <c r="CQ14" s="691"/>
      <c r="CR14" s="639"/>
      <c r="CS14" s="489"/>
      <c r="CT14" s="285"/>
      <c r="CU14" s="742"/>
      <c r="CV14" s="489"/>
      <c r="CW14" s="285"/>
      <c r="CX14" s="742"/>
      <c r="CY14" s="489"/>
      <c r="CZ14" s="285"/>
      <c r="DA14" s="742"/>
      <c r="DB14" s="489"/>
      <c r="DC14" s="717"/>
      <c r="DD14" s="639"/>
      <c r="DE14" s="489"/>
      <c r="DF14" s="285"/>
      <c r="DG14" s="159">
        <v>959.6</v>
      </c>
      <c r="DH14" s="159">
        <f>80*6</f>
        <v>480</v>
      </c>
      <c r="DI14" s="64">
        <f t="shared" si="13"/>
        <v>50.02084201750729</v>
      </c>
      <c r="DJ14" s="67"/>
      <c r="DK14" s="68"/>
      <c r="DL14" s="717" t="e">
        <f t="shared" si="8"/>
        <v>#DIV/0!</v>
      </c>
      <c r="DM14" s="67"/>
      <c r="DN14" s="68"/>
      <c r="DO14" s="70"/>
      <c r="DP14" s="67"/>
      <c r="DQ14" s="68"/>
      <c r="DR14" s="51"/>
      <c r="DS14" s="67">
        <v>15.342</v>
      </c>
      <c r="DT14" s="68">
        <v>15.3425</v>
      </c>
      <c r="DU14" s="64">
        <f t="shared" si="9"/>
        <v>100.00325902750618</v>
      </c>
      <c r="DV14" s="159">
        <v>9.858</v>
      </c>
      <c r="DW14" s="68">
        <v>9.858</v>
      </c>
      <c r="DX14" s="70">
        <f t="shared" si="10"/>
        <v>100</v>
      </c>
      <c r="DY14" s="67"/>
      <c r="DZ14" s="68"/>
      <c r="EA14" s="64"/>
      <c r="EB14" s="159">
        <v>25</v>
      </c>
      <c r="EC14" s="68">
        <v>24.99898</v>
      </c>
      <c r="ED14" s="64">
        <f>EC14/EB14*100</f>
        <v>99.99592</v>
      </c>
      <c r="EE14" s="159">
        <v>5.1</v>
      </c>
      <c r="EF14" s="68">
        <v>5.1</v>
      </c>
      <c r="EG14" s="64">
        <f t="shared" si="14"/>
        <v>100</v>
      </c>
      <c r="EH14" s="67">
        <f>C14+F14+I14+L14+O14+R14+U14+X14+AA14+AD14+AG14+AM14+AP14+AS14+AV14+AY14+BB14+BE14+BH14+BT14+BW14+BZ14+EE14+DJ14+BQ14+CI14+DV14+DS14+EB14</f>
        <v>3449.552</v>
      </c>
      <c r="EI14" s="932">
        <f>D14+G14+J14+M14+P14+S14+V14+Y14+AB14+AE14+AH14+AN14+AQ14+AT14+AW14+AZ14+BC14+BF14+BI14+BU14+BX14+CA14+EF14+DK14+BR14+CJ14+DT14+DW14+EC14</f>
        <v>1566.9472999999998</v>
      </c>
      <c r="EJ14" s="64">
        <f t="shared" si="6"/>
        <v>45.42466094147877</v>
      </c>
      <c r="EK14" s="274"/>
      <c r="EL14" s="71"/>
    </row>
    <row r="15" spans="1:142" s="2" customFormat="1" ht="20.25">
      <c r="A15" s="203" t="s">
        <v>15</v>
      </c>
      <c r="B15" s="214" t="s">
        <v>154</v>
      </c>
      <c r="C15" s="67">
        <v>828.415</v>
      </c>
      <c r="D15" s="70">
        <v>252.66176</v>
      </c>
      <c r="E15" s="52">
        <f t="shared" si="0"/>
        <v>30.499418769578053</v>
      </c>
      <c r="F15" s="67"/>
      <c r="G15" s="68"/>
      <c r="H15" s="64"/>
      <c r="I15" s="67"/>
      <c r="J15" s="68"/>
      <c r="K15" s="52"/>
      <c r="L15" s="67">
        <v>1441.959</v>
      </c>
      <c r="M15" s="68">
        <v>574.98291</v>
      </c>
      <c r="N15" s="152">
        <f t="shared" si="1"/>
        <v>39.87512196948734</v>
      </c>
      <c r="O15" s="67"/>
      <c r="P15" s="68"/>
      <c r="Q15" s="51"/>
      <c r="R15" s="67">
        <v>119.983</v>
      </c>
      <c r="S15" s="68">
        <v>40.02835</v>
      </c>
      <c r="T15" s="52">
        <f>(S15/R15)*100</f>
        <v>33.36168457198103</v>
      </c>
      <c r="U15" s="92"/>
      <c r="V15" s="55"/>
      <c r="W15" s="52"/>
      <c r="X15" s="67">
        <v>25</v>
      </c>
      <c r="Y15" s="55">
        <v>9.1</v>
      </c>
      <c r="Z15" s="52">
        <f>(Y15/X15)*100</f>
        <v>36.4</v>
      </c>
      <c r="AA15" s="67"/>
      <c r="AB15" s="68"/>
      <c r="AC15" s="52"/>
      <c r="AD15" s="67"/>
      <c r="AE15" s="68"/>
      <c r="AF15" s="52"/>
      <c r="AG15" s="67"/>
      <c r="AH15" s="68"/>
      <c r="AI15" s="51"/>
      <c r="AJ15" s="67"/>
      <c r="AK15" s="68"/>
      <c r="AL15" s="64"/>
      <c r="AM15" s="159"/>
      <c r="AN15" s="68"/>
      <c r="AO15" s="52"/>
      <c r="AP15" s="67"/>
      <c r="AQ15" s="68"/>
      <c r="AR15" s="52"/>
      <c r="AS15" s="67"/>
      <c r="AT15" s="68"/>
      <c r="AU15" s="284" t="e">
        <f t="shared" si="7"/>
        <v>#DIV/0!</v>
      </c>
      <c r="AV15" s="67"/>
      <c r="AW15" s="55"/>
      <c r="AX15" s="52"/>
      <c r="AY15" s="67">
        <v>771.143</v>
      </c>
      <c r="AZ15" s="68">
        <v>312.35679</v>
      </c>
      <c r="BA15" s="52">
        <f t="shared" si="3"/>
        <v>40.50568960620792</v>
      </c>
      <c r="BB15" s="159">
        <v>373.45259</v>
      </c>
      <c r="BC15" s="68">
        <v>100.47076</v>
      </c>
      <c r="BD15" s="119">
        <f t="shared" si="4"/>
        <v>26.903216817963425</v>
      </c>
      <c r="BE15" s="67"/>
      <c r="BF15" s="68"/>
      <c r="BG15" s="52"/>
      <c r="BH15" s="67"/>
      <c r="BI15" s="68"/>
      <c r="BJ15" s="641"/>
      <c r="BK15" s="657">
        <v>20</v>
      </c>
      <c r="BL15" s="655"/>
      <c r="BM15" s="776">
        <v>0</v>
      </c>
      <c r="BN15" s="657"/>
      <c r="BO15" s="655"/>
      <c r="BP15" s="152"/>
      <c r="BQ15" s="159">
        <v>1091.12599</v>
      </c>
      <c r="BR15" s="68"/>
      <c r="BS15" s="644">
        <f>BR15/BQ15*100</f>
        <v>0</v>
      </c>
      <c r="BT15" s="159"/>
      <c r="BU15" s="68"/>
      <c r="BV15" s="52"/>
      <c r="BW15" s="67"/>
      <c r="BX15" s="68"/>
      <c r="BY15" s="52"/>
      <c r="BZ15" s="67"/>
      <c r="CA15" s="68"/>
      <c r="CB15" s="681" t="e">
        <f t="shared" si="11"/>
        <v>#DIV/0!</v>
      </c>
      <c r="CC15" s="680"/>
      <c r="CD15" s="677"/>
      <c r="CE15" s="795"/>
      <c r="CF15" s="657"/>
      <c r="CG15" s="655"/>
      <c r="CH15" s="152"/>
      <c r="CI15" s="675">
        <v>17.5</v>
      </c>
      <c r="CJ15" s="655"/>
      <c r="CK15" s="736">
        <f t="shared" si="5"/>
        <v>0</v>
      </c>
      <c r="CL15" s="710"/>
      <c r="CM15" s="710"/>
      <c r="CN15" s="64" t="e">
        <f t="shared" si="12"/>
        <v>#DIV/0!</v>
      </c>
      <c r="CO15" s="159"/>
      <c r="CP15" s="159"/>
      <c r="CQ15" s="691"/>
      <c r="CR15" s="639"/>
      <c r="CS15" s="489"/>
      <c r="CT15" s="285"/>
      <c r="CU15" s="742"/>
      <c r="CV15" s="489"/>
      <c r="CW15" s="285"/>
      <c r="CX15" s="742"/>
      <c r="CY15" s="489"/>
      <c r="CZ15" s="285"/>
      <c r="DA15" s="742"/>
      <c r="DB15" s="489"/>
      <c r="DC15" s="717"/>
      <c r="DD15" s="639"/>
      <c r="DE15" s="489"/>
      <c r="DF15" s="285"/>
      <c r="DG15" s="159">
        <v>1228.1</v>
      </c>
      <c r="DH15" s="159">
        <f>102.3*6</f>
        <v>613.8</v>
      </c>
      <c r="DI15" s="64">
        <f t="shared" si="13"/>
        <v>49.979643351518604</v>
      </c>
      <c r="DJ15" s="639"/>
      <c r="DK15" s="489"/>
      <c r="DL15" s="70"/>
      <c r="DM15" s="67"/>
      <c r="DN15" s="68"/>
      <c r="DO15" s="70"/>
      <c r="DP15" s="67"/>
      <c r="DQ15" s="68"/>
      <c r="DR15" s="51"/>
      <c r="DS15" s="67">
        <v>20.26654</v>
      </c>
      <c r="DT15" s="68">
        <v>20.26654</v>
      </c>
      <c r="DU15" s="64">
        <f t="shared" si="9"/>
        <v>100</v>
      </c>
      <c r="DV15" s="159">
        <v>19.902</v>
      </c>
      <c r="DW15" s="68">
        <v>19.902</v>
      </c>
      <c r="DX15" s="70">
        <f t="shared" si="10"/>
        <v>100</v>
      </c>
      <c r="DY15" s="67">
        <v>50</v>
      </c>
      <c r="DZ15" s="68"/>
      <c r="EA15" s="64">
        <f>DZ15/DY15*100</f>
        <v>0</v>
      </c>
      <c r="EB15" s="159"/>
      <c r="EC15" s="68"/>
      <c r="ED15" s="64"/>
      <c r="EE15" s="159">
        <v>6.27</v>
      </c>
      <c r="EF15" s="68">
        <v>6.27</v>
      </c>
      <c r="EG15" s="64">
        <f t="shared" si="14"/>
        <v>100</v>
      </c>
      <c r="EH15" s="67">
        <f>C15+F15+I15+L15+O15+R15+U15+X15+AA15+AD15+AG15+AM15+AP15+AS15+AV15+AY15+BB15+BE15+BH15+BT15+BW15+BZ15+EE15+DJ15+BQ15+CI15+BK15+DV15+DS15+DY15</f>
        <v>4785.0171199999995</v>
      </c>
      <c r="EI15" s="932">
        <f>D15+G15+J15+M15+P15+S15+V15+Y15+AB15+AE15+AH15+AN15+AQ15+AT15+AW15+AZ15+BC15+BF15+BI15+BU15+BX15+CA15+EF15+DK15+BR15+CJ15+BL15+DW15+DT15+DZ15</f>
        <v>1336.03911</v>
      </c>
      <c r="EJ15" s="64">
        <f t="shared" si="6"/>
        <v>27.92130260967593</v>
      </c>
      <c r="EK15" s="274"/>
      <c r="EL15" s="71"/>
    </row>
    <row r="16" spans="1:142" s="2" customFormat="1" ht="20.25">
      <c r="A16" s="203" t="s">
        <v>16</v>
      </c>
      <c r="B16" s="215" t="s">
        <v>155</v>
      </c>
      <c r="C16" s="67">
        <v>658</v>
      </c>
      <c r="D16" s="70">
        <v>276.08896</v>
      </c>
      <c r="E16" s="52">
        <f t="shared" si="0"/>
        <v>41.9588085106383</v>
      </c>
      <c r="F16" s="67"/>
      <c r="G16" s="68"/>
      <c r="H16" s="64"/>
      <c r="I16" s="67"/>
      <c r="J16" s="68"/>
      <c r="K16" s="52"/>
      <c r="L16" s="67"/>
      <c r="M16" s="68"/>
      <c r="N16" s="152"/>
      <c r="O16" s="67"/>
      <c r="P16" s="68"/>
      <c r="Q16" s="51"/>
      <c r="R16" s="67"/>
      <c r="S16" s="68"/>
      <c r="T16" s="52"/>
      <c r="U16" s="92"/>
      <c r="V16" s="55"/>
      <c r="W16" s="52"/>
      <c r="X16" s="67">
        <v>25</v>
      </c>
      <c r="Y16" s="55">
        <v>6.1</v>
      </c>
      <c r="Z16" s="52">
        <f>(Y16/X16)*100</f>
        <v>24.4</v>
      </c>
      <c r="AA16" s="67"/>
      <c r="AB16" s="68"/>
      <c r="AC16" s="52"/>
      <c r="AD16" s="67"/>
      <c r="AE16" s="68"/>
      <c r="AF16" s="52"/>
      <c r="AG16" s="67"/>
      <c r="AH16" s="68"/>
      <c r="AI16" s="51"/>
      <c r="AJ16" s="67">
        <v>10</v>
      </c>
      <c r="AK16" s="68">
        <v>2.65637</v>
      </c>
      <c r="AL16" s="64">
        <f>AK16/AJ16*100</f>
        <v>26.5637</v>
      </c>
      <c r="AM16" s="159"/>
      <c r="AN16" s="68"/>
      <c r="AO16" s="52"/>
      <c r="AP16" s="67"/>
      <c r="AQ16" s="68"/>
      <c r="AR16" s="52"/>
      <c r="AS16" s="67"/>
      <c r="AT16" s="68"/>
      <c r="AU16" s="284" t="e">
        <f t="shared" si="7"/>
        <v>#DIV/0!</v>
      </c>
      <c r="AV16" s="67"/>
      <c r="AW16" s="55"/>
      <c r="AX16" s="52"/>
      <c r="AY16" s="67">
        <v>142.3</v>
      </c>
      <c r="AZ16" s="68">
        <v>45.77059</v>
      </c>
      <c r="BA16" s="52">
        <f t="shared" si="3"/>
        <v>32.164855938158816</v>
      </c>
      <c r="BB16" s="159">
        <v>168</v>
      </c>
      <c r="BC16" s="68">
        <v>57.73243</v>
      </c>
      <c r="BD16" s="52">
        <f t="shared" si="4"/>
        <v>34.36454166666667</v>
      </c>
      <c r="BE16" s="67"/>
      <c r="BF16" s="68"/>
      <c r="BG16" s="52"/>
      <c r="BH16" s="67">
        <v>7</v>
      </c>
      <c r="BI16" s="68">
        <v>6.996</v>
      </c>
      <c r="BJ16" s="641">
        <f>(BI16/BH16)*100</f>
        <v>99.94285714285715</v>
      </c>
      <c r="BK16" s="657"/>
      <c r="BL16" s="655"/>
      <c r="BM16" s="776"/>
      <c r="BN16" s="657"/>
      <c r="BO16" s="655"/>
      <c r="BP16" s="152"/>
      <c r="BQ16" s="159"/>
      <c r="BR16" s="68"/>
      <c r="BS16" s="644"/>
      <c r="BT16" s="159"/>
      <c r="BU16" s="68"/>
      <c r="BV16" s="52"/>
      <c r="BW16" s="67"/>
      <c r="BX16" s="68"/>
      <c r="BY16" s="52"/>
      <c r="BZ16" s="67"/>
      <c r="CA16" s="68"/>
      <c r="CB16" s="681" t="e">
        <f t="shared" si="11"/>
        <v>#DIV/0!</v>
      </c>
      <c r="CC16" s="680"/>
      <c r="CD16" s="677"/>
      <c r="CE16" s="795"/>
      <c r="CF16" s="657"/>
      <c r="CG16" s="655"/>
      <c r="CH16" s="152"/>
      <c r="CI16" s="675"/>
      <c r="CJ16" s="655"/>
      <c r="CK16" s="284" t="e">
        <f t="shared" si="5"/>
        <v>#DIV/0!</v>
      </c>
      <c r="CL16" s="710"/>
      <c r="CM16" s="710"/>
      <c r="CN16" s="64" t="e">
        <f t="shared" si="12"/>
        <v>#DIV/0!</v>
      </c>
      <c r="CO16" s="159"/>
      <c r="CP16" s="159"/>
      <c r="CQ16" s="691" t="e">
        <f>(CP16/CO16)*100</f>
        <v>#DIV/0!</v>
      </c>
      <c r="CR16" s="639"/>
      <c r="CS16" s="489"/>
      <c r="CT16" s="285"/>
      <c r="CU16" s="742"/>
      <c r="CV16" s="489"/>
      <c r="CW16" s="285"/>
      <c r="CX16" s="159">
        <v>20</v>
      </c>
      <c r="CY16" s="68"/>
      <c r="CZ16" s="64">
        <f>CY16/CX16*100</f>
        <v>0</v>
      </c>
      <c r="DA16" s="742"/>
      <c r="DB16" s="489"/>
      <c r="DC16" s="717"/>
      <c r="DD16" s="639"/>
      <c r="DE16" s="489"/>
      <c r="DF16" s="285"/>
      <c r="DG16" s="159">
        <v>168</v>
      </c>
      <c r="DH16" s="159">
        <f>14*5+3.29</f>
        <v>73.29</v>
      </c>
      <c r="DI16" s="64">
        <f t="shared" si="13"/>
        <v>43.625</v>
      </c>
      <c r="DJ16" s="67">
        <v>30</v>
      </c>
      <c r="DK16" s="68">
        <v>30</v>
      </c>
      <c r="DL16" s="70">
        <f t="shared" si="8"/>
        <v>100</v>
      </c>
      <c r="DM16" s="67">
        <v>94.9</v>
      </c>
      <c r="DN16" s="68">
        <v>94.9</v>
      </c>
      <c r="DO16" s="70">
        <f>DN16/DM16*100</f>
        <v>100</v>
      </c>
      <c r="DP16" s="67"/>
      <c r="DQ16" s="68"/>
      <c r="DR16" s="51"/>
      <c r="DS16" s="67">
        <v>16.317</v>
      </c>
      <c r="DT16" s="68">
        <v>16.317</v>
      </c>
      <c r="DU16" s="64">
        <f t="shared" si="9"/>
        <v>100</v>
      </c>
      <c r="DV16" s="159">
        <v>14.322</v>
      </c>
      <c r="DW16" s="68">
        <v>14.322</v>
      </c>
      <c r="DX16" s="70">
        <f t="shared" si="10"/>
        <v>100</v>
      </c>
      <c r="DY16" s="67"/>
      <c r="DZ16" s="68"/>
      <c r="EA16" s="64"/>
      <c r="EB16" s="159"/>
      <c r="EC16" s="68"/>
      <c r="ED16" s="64"/>
      <c r="EE16" s="159">
        <v>5.4</v>
      </c>
      <c r="EF16" s="68">
        <v>5.4</v>
      </c>
      <c r="EG16" s="64">
        <f t="shared" si="14"/>
        <v>100</v>
      </c>
      <c r="EH16" s="67">
        <f>C16+F16+I16+L16+O16+R16+U16+X16+AA16+AD16+AG16+AM16+AP16+AS16+AV16+AY16+BB16+BE16+BH16+BT16+BW16+BZ16+EE16+DJ16+CO16+DM16+CI16+AJ16+DV16+DS16+CX16</f>
        <v>1191.2389999999998</v>
      </c>
      <c r="EI16" s="159">
        <f>D16+G16+J16+M16+P16+S16+V16+Y16+AB16+AE16+AH16+AN16+AQ16+AT16+AW16+AZ16+BC16+BF16+BI16+BU16+BX16+CA16+EF16+DK16+CP16+DN16+CJ16+AK16+DW16+DT16+CY16</f>
        <v>556.28335</v>
      </c>
      <c r="EJ16" s="64">
        <f t="shared" si="6"/>
        <v>46.69787926688097</v>
      </c>
      <c r="EK16" s="274"/>
      <c r="EL16" s="71"/>
    </row>
    <row r="17" spans="1:142" s="2" customFormat="1" ht="20.25">
      <c r="A17" s="203" t="s">
        <v>17</v>
      </c>
      <c r="B17" s="215" t="s">
        <v>156</v>
      </c>
      <c r="C17" s="67">
        <v>477.6</v>
      </c>
      <c r="D17" s="70">
        <v>208.96998</v>
      </c>
      <c r="E17" s="52">
        <f t="shared" si="0"/>
        <v>43.75418341708542</v>
      </c>
      <c r="F17" s="67"/>
      <c r="G17" s="68"/>
      <c r="H17" s="64"/>
      <c r="I17" s="67"/>
      <c r="J17" s="68"/>
      <c r="K17" s="52"/>
      <c r="L17" s="67">
        <v>724.781</v>
      </c>
      <c r="M17" s="68">
        <v>343.39761</v>
      </c>
      <c r="N17" s="152">
        <f>(M17/L17)*100</f>
        <v>47.37949946259629</v>
      </c>
      <c r="O17" s="67"/>
      <c r="P17" s="68"/>
      <c r="Q17" s="51"/>
      <c r="R17" s="67">
        <v>90</v>
      </c>
      <c r="S17" s="68">
        <v>37.6001</v>
      </c>
      <c r="T17" s="52">
        <f>(S17/R17)*100</f>
        <v>41.77788888888889</v>
      </c>
      <c r="U17" s="92"/>
      <c r="V17" s="55"/>
      <c r="W17" s="52"/>
      <c r="X17" s="67">
        <v>30</v>
      </c>
      <c r="Y17" s="55">
        <v>4.8</v>
      </c>
      <c r="Z17" s="52">
        <f>(Y17/X17)*100</f>
        <v>16</v>
      </c>
      <c r="AA17" s="67"/>
      <c r="AB17" s="68"/>
      <c r="AC17" s="52"/>
      <c r="AD17" s="67"/>
      <c r="AE17" s="68"/>
      <c r="AF17" s="52"/>
      <c r="AG17" s="67"/>
      <c r="AH17" s="68"/>
      <c r="AI17" s="51"/>
      <c r="AJ17" s="67"/>
      <c r="AK17" s="68"/>
      <c r="AL17" s="64"/>
      <c r="AM17" s="159"/>
      <c r="AN17" s="68"/>
      <c r="AO17" s="52"/>
      <c r="AP17" s="67"/>
      <c r="AQ17" s="68"/>
      <c r="AR17" s="52"/>
      <c r="AS17" s="67"/>
      <c r="AT17" s="68"/>
      <c r="AU17" s="284" t="e">
        <f t="shared" si="7"/>
        <v>#DIV/0!</v>
      </c>
      <c r="AV17" s="67"/>
      <c r="AW17" s="55"/>
      <c r="AX17" s="52"/>
      <c r="AY17" s="67">
        <v>63</v>
      </c>
      <c r="AZ17" s="68">
        <v>16.93528</v>
      </c>
      <c r="BA17" s="52">
        <f t="shared" si="3"/>
        <v>26.881396825396823</v>
      </c>
      <c r="BB17" s="159">
        <v>268.7</v>
      </c>
      <c r="BC17" s="68">
        <v>139.78113</v>
      </c>
      <c r="BD17" s="52">
        <f t="shared" si="4"/>
        <v>52.02126163007071</v>
      </c>
      <c r="BE17" s="67"/>
      <c r="BF17" s="68"/>
      <c r="BG17" s="52"/>
      <c r="BH17" s="67">
        <v>15</v>
      </c>
      <c r="BI17" s="68">
        <v>5.9</v>
      </c>
      <c r="BJ17" s="641">
        <f>(BI17/BH17)*100</f>
        <v>39.333333333333336</v>
      </c>
      <c r="BK17" s="657"/>
      <c r="BL17" s="655"/>
      <c r="BM17" s="776"/>
      <c r="BN17" s="657"/>
      <c r="BO17" s="655"/>
      <c r="BP17" s="152"/>
      <c r="BQ17" s="159">
        <v>150</v>
      </c>
      <c r="BR17" s="68"/>
      <c r="BS17" s="644">
        <f>BR17/BQ17*100</f>
        <v>0</v>
      </c>
      <c r="BT17" s="159"/>
      <c r="BU17" s="68"/>
      <c r="BV17" s="52"/>
      <c r="BW17" s="67"/>
      <c r="BX17" s="68"/>
      <c r="BY17" s="52"/>
      <c r="BZ17" s="67"/>
      <c r="CA17" s="68"/>
      <c r="CB17" s="681" t="e">
        <f t="shared" si="11"/>
        <v>#DIV/0!</v>
      </c>
      <c r="CC17" s="680"/>
      <c r="CD17" s="677"/>
      <c r="CE17" s="795"/>
      <c r="CF17" s="657"/>
      <c r="CG17" s="655"/>
      <c r="CH17" s="152"/>
      <c r="CI17" s="675"/>
      <c r="CJ17" s="655"/>
      <c r="CK17" s="284" t="e">
        <f t="shared" si="5"/>
        <v>#DIV/0!</v>
      </c>
      <c r="CL17" s="710"/>
      <c r="CM17" s="710"/>
      <c r="CN17" s="64" t="e">
        <f t="shared" si="12"/>
        <v>#DIV/0!</v>
      </c>
      <c r="CO17" s="159"/>
      <c r="CP17" s="159"/>
      <c r="CQ17" s="313"/>
      <c r="CR17" s="639"/>
      <c r="CS17" s="489"/>
      <c r="CT17" s="285"/>
      <c r="CU17" s="742"/>
      <c r="CV17" s="489"/>
      <c r="CW17" s="285"/>
      <c r="CX17" s="742"/>
      <c r="CY17" s="489"/>
      <c r="CZ17" s="64"/>
      <c r="DA17" s="742"/>
      <c r="DB17" s="489"/>
      <c r="DC17" s="717"/>
      <c r="DD17" s="639"/>
      <c r="DE17" s="489"/>
      <c r="DF17" s="285"/>
      <c r="DG17" s="159">
        <v>741</v>
      </c>
      <c r="DH17" s="159">
        <f>61.8*6</f>
        <v>370.79999999999995</v>
      </c>
      <c r="DI17" s="64">
        <f t="shared" si="13"/>
        <v>50.040485829959515</v>
      </c>
      <c r="DJ17" s="67">
        <v>7</v>
      </c>
      <c r="DK17" s="68">
        <v>7</v>
      </c>
      <c r="DL17" s="70">
        <f t="shared" si="8"/>
        <v>100</v>
      </c>
      <c r="DM17" s="67"/>
      <c r="DN17" s="68"/>
      <c r="DO17" s="70"/>
      <c r="DP17" s="67"/>
      <c r="DQ17" s="68"/>
      <c r="DR17" s="51"/>
      <c r="DS17" s="67">
        <v>9.191</v>
      </c>
      <c r="DT17" s="68">
        <v>9.191</v>
      </c>
      <c r="DU17" s="64">
        <f t="shared" si="9"/>
        <v>100</v>
      </c>
      <c r="DV17" s="159">
        <v>8.928</v>
      </c>
      <c r="DW17" s="68">
        <v>2.976</v>
      </c>
      <c r="DX17" s="70">
        <f t="shared" si="10"/>
        <v>33.33333333333333</v>
      </c>
      <c r="DY17" s="67"/>
      <c r="DZ17" s="68"/>
      <c r="EA17" s="64"/>
      <c r="EB17" s="159"/>
      <c r="EC17" s="68"/>
      <c r="ED17" s="64"/>
      <c r="EE17" s="159">
        <v>3.2</v>
      </c>
      <c r="EF17" s="68">
        <v>3.2</v>
      </c>
      <c r="EG17" s="64">
        <f t="shared" si="14"/>
        <v>100</v>
      </c>
      <c r="EH17" s="67">
        <f>C17+F17+I17+L17+O17+R17+U17+X17+AA17+AD17+AG17+AM17+AP17+AS17+AV17+AY17+BB17+BE17+BH17+BT17+BW17+BZ17+EE17+DJ17+BQ17+CI17+DV17+DS17</f>
        <v>1847.4</v>
      </c>
      <c r="EI17" s="932">
        <f>D17+G17+J17+M17+P17+S17+V17+Y17+AB17+AE17+AH17+AN17+AQ17+AT17+AW17+AZ17+BC17+BF17+BI17+BU17+BX17+CA17+EF17+DK17+BR17+CJ17+DW17+DT17</f>
        <v>779.7511</v>
      </c>
      <c r="EJ17" s="64">
        <f t="shared" si="6"/>
        <v>42.20802749810544</v>
      </c>
      <c r="EK17" s="274"/>
      <c r="EL17" s="71"/>
    </row>
    <row r="18" spans="1:142" s="2" customFormat="1" ht="20.25">
      <c r="A18" s="203" t="s">
        <v>21</v>
      </c>
      <c r="B18" s="215" t="s">
        <v>157</v>
      </c>
      <c r="C18" s="67">
        <v>605.364</v>
      </c>
      <c r="D18" s="70">
        <v>258.13105</v>
      </c>
      <c r="E18" s="52">
        <f t="shared" si="0"/>
        <v>42.64063439517381</v>
      </c>
      <c r="F18" s="67"/>
      <c r="G18" s="68"/>
      <c r="H18" s="64"/>
      <c r="I18" s="67"/>
      <c r="J18" s="68"/>
      <c r="K18" s="52"/>
      <c r="L18" s="67"/>
      <c r="M18" s="68"/>
      <c r="N18" s="152"/>
      <c r="O18" s="67"/>
      <c r="P18" s="68"/>
      <c r="Q18" s="51"/>
      <c r="R18" s="67"/>
      <c r="S18" s="68"/>
      <c r="T18" s="52"/>
      <c r="U18" s="92"/>
      <c r="V18" s="55"/>
      <c r="W18" s="52"/>
      <c r="X18" s="67">
        <v>8</v>
      </c>
      <c r="Y18" s="55">
        <v>6.2</v>
      </c>
      <c r="Z18" s="52">
        <f>(Y18/X18)*100</f>
        <v>77.5</v>
      </c>
      <c r="AA18" s="67"/>
      <c r="AB18" s="68"/>
      <c r="AC18" s="52"/>
      <c r="AD18" s="67"/>
      <c r="AE18" s="68"/>
      <c r="AF18" s="52"/>
      <c r="AG18" s="67"/>
      <c r="AH18" s="68"/>
      <c r="AI18" s="51"/>
      <c r="AJ18" s="67">
        <v>28.976</v>
      </c>
      <c r="AK18" s="68">
        <v>2.57176</v>
      </c>
      <c r="AL18" s="64">
        <f>AK18/AJ18*100</f>
        <v>8.87548315847598</v>
      </c>
      <c r="AM18" s="159"/>
      <c r="AN18" s="68"/>
      <c r="AO18" s="52"/>
      <c r="AP18" s="67"/>
      <c r="AQ18" s="68"/>
      <c r="AR18" s="52"/>
      <c r="AS18" s="67"/>
      <c r="AT18" s="68"/>
      <c r="AU18" s="52"/>
      <c r="AV18" s="67"/>
      <c r="AW18" s="55"/>
      <c r="AX18" s="52"/>
      <c r="AY18" s="67">
        <v>1308.083</v>
      </c>
      <c r="AZ18" s="68">
        <v>997.0792</v>
      </c>
      <c r="BA18" s="52">
        <f t="shared" si="3"/>
        <v>76.22445976287437</v>
      </c>
      <c r="BB18" s="404">
        <v>41.641</v>
      </c>
      <c r="BC18" s="327">
        <v>7.19572</v>
      </c>
      <c r="BD18" s="52">
        <v>0</v>
      </c>
      <c r="BE18" s="67"/>
      <c r="BF18" s="68"/>
      <c r="BG18" s="52"/>
      <c r="BH18" s="67">
        <v>8</v>
      </c>
      <c r="BI18" s="68">
        <v>3.9</v>
      </c>
      <c r="BJ18" s="641">
        <f>(BI18/BH18)*100</f>
        <v>48.75</v>
      </c>
      <c r="BK18" s="67"/>
      <c r="BL18" s="68"/>
      <c r="BM18" s="70"/>
      <c r="BN18" s="67"/>
      <c r="BO18" s="68"/>
      <c r="BP18" s="64"/>
      <c r="BQ18" s="159"/>
      <c r="BR18" s="68"/>
      <c r="BS18" s="644"/>
      <c r="BT18" s="159"/>
      <c r="BU18" s="68"/>
      <c r="BV18" s="52"/>
      <c r="BW18" s="67"/>
      <c r="BX18" s="68"/>
      <c r="BY18" s="52"/>
      <c r="BZ18" s="67"/>
      <c r="CA18" s="68"/>
      <c r="CB18" s="681" t="e">
        <f t="shared" si="11"/>
        <v>#DIV/0!</v>
      </c>
      <c r="CC18" s="680"/>
      <c r="CD18" s="677"/>
      <c r="CE18" s="795"/>
      <c r="CF18" s="657"/>
      <c r="CG18" s="655"/>
      <c r="CH18" s="152"/>
      <c r="CI18" s="675"/>
      <c r="CJ18" s="655"/>
      <c r="CK18" s="284" t="e">
        <f t="shared" si="5"/>
        <v>#DIV/0!</v>
      </c>
      <c r="CL18" s="710"/>
      <c r="CM18" s="710"/>
      <c r="CN18" s="64" t="e">
        <f t="shared" si="12"/>
        <v>#DIV/0!</v>
      </c>
      <c r="CO18" s="159"/>
      <c r="CP18" s="159"/>
      <c r="CQ18" s="51"/>
      <c r="CR18" s="639"/>
      <c r="CS18" s="489"/>
      <c r="CT18" s="285"/>
      <c r="CU18" s="742"/>
      <c r="CV18" s="489"/>
      <c r="CW18" s="285"/>
      <c r="CX18" s="159">
        <v>34.539</v>
      </c>
      <c r="CY18" s="68"/>
      <c r="CZ18" s="64">
        <f>CY18/CX18*100</f>
        <v>0</v>
      </c>
      <c r="DA18" s="626">
        <v>50</v>
      </c>
      <c r="DB18" s="308">
        <v>50</v>
      </c>
      <c r="DC18" s="754">
        <f>DB18/DA18*100</f>
        <v>100</v>
      </c>
      <c r="DD18" s="756"/>
      <c r="DE18" s="308"/>
      <c r="DF18" s="734"/>
      <c r="DG18" s="159"/>
      <c r="DH18" s="159"/>
      <c r="DI18" s="64"/>
      <c r="DJ18" s="67">
        <v>30</v>
      </c>
      <c r="DK18" s="68">
        <v>30</v>
      </c>
      <c r="DL18" s="70">
        <f t="shared" si="8"/>
        <v>100</v>
      </c>
      <c r="DM18" s="67">
        <v>94.9</v>
      </c>
      <c r="DN18" s="68">
        <v>94.9</v>
      </c>
      <c r="DO18" s="70">
        <f>DN18/DM18*100</f>
        <v>100</v>
      </c>
      <c r="DP18" s="67"/>
      <c r="DQ18" s="68"/>
      <c r="DR18" s="51"/>
      <c r="DS18" s="67">
        <v>15.401</v>
      </c>
      <c r="DT18" s="68">
        <v>15.401</v>
      </c>
      <c r="DU18" s="64">
        <f t="shared" si="9"/>
        <v>100</v>
      </c>
      <c r="DV18" s="159">
        <v>14.136</v>
      </c>
      <c r="DW18" s="68">
        <v>14.136</v>
      </c>
      <c r="DX18" s="70">
        <f t="shared" si="10"/>
        <v>100</v>
      </c>
      <c r="DY18" s="67"/>
      <c r="DZ18" s="68"/>
      <c r="EA18" s="64"/>
      <c r="EB18" s="159">
        <v>30</v>
      </c>
      <c r="EC18" s="68">
        <v>30</v>
      </c>
      <c r="ED18" s="64">
        <f>EC18/EB18*100</f>
        <v>100</v>
      </c>
      <c r="EE18" s="159">
        <v>5.17</v>
      </c>
      <c r="EF18" s="68">
        <v>5.17</v>
      </c>
      <c r="EG18" s="64">
        <f t="shared" si="14"/>
        <v>100</v>
      </c>
      <c r="EH18" s="933">
        <f>C18+F18+I18+L18+O18+R18+U18+X18+AA18+AD18+AG18+AM18+AP18+AS18+AV18+AY18+BB18+BE18+BH18+BT18+BW18+BZ18+EE18+DJ18+DM18+CI18+AJ18+EB18+DV18+DS18+CX18</f>
        <v>2224.2100000000005</v>
      </c>
      <c r="EI18" s="159">
        <f>D18+G18+J18+M18+P18+S18+V18+Y18+AB18+AE18+AH18+AN18+AQ18+AT18+AW18+AZ18+BC18+BF18+BI18+BU18+BX18+CA18+EF18+DK18+DN18+CJ18+AK18+EC18+DW18+DT18+CY18</f>
        <v>1464.6847300000002</v>
      </c>
      <c r="EJ18" s="64">
        <f t="shared" si="6"/>
        <v>65.85190831800954</v>
      </c>
      <c r="EK18" s="274"/>
      <c r="EL18" s="71"/>
    </row>
    <row r="19" spans="1:142" s="2" customFormat="1" ht="20.25">
      <c r="A19" s="203">
        <v>424.6</v>
      </c>
      <c r="B19" s="215" t="s">
        <v>158</v>
      </c>
      <c r="C19" s="67">
        <v>424.6</v>
      </c>
      <c r="D19" s="70">
        <v>188.20859</v>
      </c>
      <c r="E19" s="52">
        <f t="shared" si="0"/>
        <v>44.32609279321714</v>
      </c>
      <c r="F19" s="67"/>
      <c r="G19" s="68"/>
      <c r="H19" s="64"/>
      <c r="I19" s="67"/>
      <c r="J19" s="68"/>
      <c r="K19" s="52"/>
      <c r="L19" s="67">
        <v>511.6</v>
      </c>
      <c r="M19" s="68">
        <v>204.01497</v>
      </c>
      <c r="N19" s="152">
        <f>(M19/L19)*100</f>
        <v>39.877828381548085</v>
      </c>
      <c r="O19" s="67"/>
      <c r="P19" s="68"/>
      <c r="Q19" s="51"/>
      <c r="R19" s="67"/>
      <c r="S19" s="68"/>
      <c r="T19" s="52"/>
      <c r="U19" s="92"/>
      <c r="V19" s="55"/>
      <c r="W19" s="52"/>
      <c r="X19" s="67">
        <v>5</v>
      </c>
      <c r="Y19" s="55">
        <v>1</v>
      </c>
      <c r="Z19" s="52">
        <f>(Y19/X19)*100</f>
        <v>20</v>
      </c>
      <c r="AA19" s="67"/>
      <c r="AB19" s="68"/>
      <c r="AC19" s="52"/>
      <c r="AD19" s="67"/>
      <c r="AE19" s="68"/>
      <c r="AF19" s="52"/>
      <c r="AG19" s="67"/>
      <c r="AH19" s="68"/>
      <c r="AI19" s="51"/>
      <c r="AJ19" s="67">
        <v>11</v>
      </c>
      <c r="AK19" s="68">
        <v>5.42032</v>
      </c>
      <c r="AL19" s="64">
        <f>AK19/AJ19*100</f>
        <v>49.275636363636366</v>
      </c>
      <c r="AM19" s="159"/>
      <c r="AN19" s="68"/>
      <c r="AO19" s="52"/>
      <c r="AP19" s="67"/>
      <c r="AQ19" s="68"/>
      <c r="AR19" s="52"/>
      <c r="AS19" s="67"/>
      <c r="AT19" s="68"/>
      <c r="AU19" s="284" t="e">
        <f t="shared" si="7"/>
        <v>#DIV/0!</v>
      </c>
      <c r="AV19" s="67"/>
      <c r="AW19" s="55"/>
      <c r="AX19" s="52"/>
      <c r="AY19" s="67">
        <v>26</v>
      </c>
      <c r="AZ19" s="68">
        <v>17.185</v>
      </c>
      <c r="BA19" s="52">
        <f t="shared" si="3"/>
        <v>66.09615384615384</v>
      </c>
      <c r="BB19" s="159">
        <v>239.3</v>
      </c>
      <c r="BC19" s="68">
        <v>116.18949</v>
      </c>
      <c r="BD19" s="121">
        <f t="shared" si="4"/>
        <v>48.553903050564145</v>
      </c>
      <c r="BE19" s="68" t="s">
        <v>194</v>
      </c>
      <c r="BG19" s="52"/>
      <c r="BH19" s="67"/>
      <c r="BI19" s="68"/>
      <c r="BJ19" s="51"/>
      <c r="BK19" s="67"/>
      <c r="BL19" s="68"/>
      <c r="BM19" s="70"/>
      <c r="BN19" s="67"/>
      <c r="BO19" s="68"/>
      <c r="BP19" s="64"/>
      <c r="BQ19" s="159"/>
      <c r="BR19" s="68"/>
      <c r="BS19" s="644"/>
      <c r="BT19" s="159"/>
      <c r="BU19" s="68"/>
      <c r="BV19" s="52"/>
      <c r="BW19" s="67"/>
      <c r="BX19" s="68"/>
      <c r="BY19" s="52"/>
      <c r="BZ19" s="67"/>
      <c r="CA19" s="68"/>
      <c r="CB19" s="681" t="e">
        <f t="shared" si="11"/>
        <v>#DIV/0!</v>
      </c>
      <c r="CC19" s="680"/>
      <c r="CD19" s="677"/>
      <c r="CE19" s="795"/>
      <c r="CF19" s="657"/>
      <c r="CG19" s="655"/>
      <c r="CH19" s="152"/>
      <c r="CI19" s="675"/>
      <c r="CJ19" s="655"/>
      <c r="CK19" s="284" t="e">
        <f t="shared" si="5"/>
        <v>#DIV/0!</v>
      </c>
      <c r="CL19" s="710"/>
      <c r="CM19" s="710"/>
      <c r="CN19" s="64" t="e">
        <f t="shared" si="12"/>
        <v>#DIV/0!</v>
      </c>
      <c r="CO19" s="159"/>
      <c r="CP19" s="159"/>
      <c r="CQ19" s="51"/>
      <c r="CR19" s="639"/>
      <c r="CS19" s="489"/>
      <c r="CT19" s="285"/>
      <c r="CU19" s="742"/>
      <c r="CV19" s="489"/>
      <c r="CW19" s="285"/>
      <c r="CX19" s="742"/>
      <c r="CY19" s="489"/>
      <c r="CZ19" s="285"/>
      <c r="DA19" s="742"/>
      <c r="DB19" s="489"/>
      <c r="DC19" s="717"/>
      <c r="DD19" s="639"/>
      <c r="DE19" s="489"/>
      <c r="DF19" s="285"/>
      <c r="DG19" s="159">
        <v>435.8</v>
      </c>
      <c r="DH19" s="159">
        <f>36.3*6</f>
        <v>217.79999999999998</v>
      </c>
      <c r="DI19" s="64">
        <f t="shared" si="13"/>
        <v>49.977053694355206</v>
      </c>
      <c r="DJ19" s="639"/>
      <c r="DK19" s="489"/>
      <c r="DL19" s="70"/>
      <c r="DM19" s="67"/>
      <c r="DN19" s="68"/>
      <c r="DO19" s="70"/>
      <c r="DP19" s="67"/>
      <c r="DQ19" s="68"/>
      <c r="DR19" s="51"/>
      <c r="DS19" s="67">
        <v>8.101</v>
      </c>
      <c r="DT19" s="68">
        <v>8.101</v>
      </c>
      <c r="DU19" s="64">
        <f t="shared" si="9"/>
        <v>100</v>
      </c>
      <c r="DV19" s="159">
        <v>7.812</v>
      </c>
      <c r="DW19" s="68">
        <v>7.812</v>
      </c>
      <c r="DX19" s="70">
        <f t="shared" si="10"/>
        <v>100</v>
      </c>
      <c r="DY19" s="67"/>
      <c r="DZ19" s="68"/>
      <c r="EA19" s="64"/>
      <c r="EB19" s="159"/>
      <c r="EC19" s="68"/>
      <c r="ED19" s="64"/>
      <c r="EE19" s="159">
        <v>2.7</v>
      </c>
      <c r="EF19" s="68">
        <v>2.7</v>
      </c>
      <c r="EG19" s="64">
        <f t="shared" si="14"/>
        <v>100</v>
      </c>
      <c r="EH19" s="67">
        <f>C19+F19+I19+L19+O19+R19+U19+X19+AA19+AD19+AG19+AM19+AP19+AS19+AV19+AY19+BB19+BH19+BT19+BW19+BZ19+EE19+DJ19+CI19+AJ19+DV19+DS19</f>
        <v>1236.113</v>
      </c>
      <c r="EI19" s="159">
        <f>D19+G19+J19+M19+P19+S19+V19+Y19+AB19+AE19+AH19+AN19+AQ19+AT19+AW19+AZ19+BC19+BI19+BU19+BX19+CA19+EF19+DK19+CJ19+AK19+DW19+DT19</f>
        <v>550.6313700000001</v>
      </c>
      <c r="EJ19" s="64">
        <f t="shared" si="6"/>
        <v>44.545391076705776</v>
      </c>
      <c r="EK19" s="274"/>
      <c r="EL19" s="71"/>
    </row>
    <row r="20" spans="1:142" s="2" customFormat="1" ht="20.25">
      <c r="A20" s="203" t="s">
        <v>23</v>
      </c>
      <c r="B20" s="214" t="s">
        <v>159</v>
      </c>
      <c r="C20" s="67">
        <v>500.63012</v>
      </c>
      <c r="D20" s="70">
        <v>216.53972</v>
      </c>
      <c r="E20" s="52">
        <f t="shared" si="0"/>
        <v>43.25343429196789</v>
      </c>
      <c r="F20" s="67"/>
      <c r="G20" s="68"/>
      <c r="H20" s="64"/>
      <c r="I20" s="67"/>
      <c r="J20" s="68"/>
      <c r="K20" s="52"/>
      <c r="L20" s="67">
        <v>1132.33683</v>
      </c>
      <c r="M20" s="68">
        <v>566.4598</v>
      </c>
      <c r="N20" s="152">
        <f>(M20/L20)*100</f>
        <v>50.025733067430124</v>
      </c>
      <c r="O20" s="67"/>
      <c r="P20" s="68"/>
      <c r="Q20" s="51"/>
      <c r="R20" s="67"/>
      <c r="S20" s="68"/>
      <c r="T20" s="52"/>
      <c r="U20" s="92"/>
      <c r="V20" s="55"/>
      <c r="W20" s="52"/>
      <c r="X20" s="67"/>
      <c r="Y20" s="55"/>
      <c r="Z20" s="52"/>
      <c r="AA20" s="67"/>
      <c r="AB20" s="68"/>
      <c r="AC20" s="52"/>
      <c r="AD20" s="67"/>
      <c r="AE20" s="68"/>
      <c r="AF20" s="52"/>
      <c r="AG20" s="67"/>
      <c r="AH20" s="68"/>
      <c r="AI20" s="51"/>
      <c r="AJ20" s="67">
        <v>19.776</v>
      </c>
      <c r="AK20" s="68">
        <v>3.94269</v>
      </c>
      <c r="AL20" s="64">
        <f>AK20/AJ20*100</f>
        <v>19.936741504854368</v>
      </c>
      <c r="AM20" s="159"/>
      <c r="AN20" s="68"/>
      <c r="AO20" s="52"/>
      <c r="AP20" s="67"/>
      <c r="AQ20" s="68"/>
      <c r="AR20" s="52"/>
      <c r="AS20" s="67"/>
      <c r="AT20" s="68"/>
      <c r="AU20" s="284" t="e">
        <f t="shared" si="7"/>
        <v>#DIV/0!</v>
      </c>
      <c r="AV20" s="67"/>
      <c r="AW20" s="55"/>
      <c r="AX20" s="52"/>
      <c r="AY20" s="67">
        <v>61.43094</v>
      </c>
      <c r="AZ20" s="68">
        <v>22.51978</v>
      </c>
      <c r="BA20" s="121">
        <f>(AZ20/AY20)*100</f>
        <v>36.6586934857256</v>
      </c>
      <c r="BB20" s="159">
        <v>384.344</v>
      </c>
      <c r="BC20" s="120">
        <v>157.96459</v>
      </c>
      <c r="BD20" s="52">
        <f t="shared" si="4"/>
        <v>41.09979341423308</v>
      </c>
      <c r="BE20" s="67"/>
      <c r="BF20" s="68"/>
      <c r="BG20" s="52"/>
      <c r="BH20" s="67"/>
      <c r="BI20" s="68"/>
      <c r="BJ20" s="51"/>
      <c r="BK20" s="67"/>
      <c r="BL20" s="68"/>
      <c r="BM20" s="70"/>
      <c r="BN20" s="67"/>
      <c r="BO20" s="68"/>
      <c r="BP20" s="64"/>
      <c r="BQ20" s="159"/>
      <c r="BR20" s="68"/>
      <c r="BS20" s="724" t="e">
        <f>BR20/BQ20*100</f>
        <v>#DIV/0!</v>
      </c>
      <c r="BT20" s="159"/>
      <c r="BU20" s="68"/>
      <c r="BV20" s="52"/>
      <c r="BW20" s="67"/>
      <c r="BX20" s="68"/>
      <c r="BY20" s="52"/>
      <c r="BZ20" s="67"/>
      <c r="CA20" s="68"/>
      <c r="CB20" s="681" t="e">
        <f t="shared" si="11"/>
        <v>#DIV/0!</v>
      </c>
      <c r="CC20" s="680"/>
      <c r="CD20" s="677"/>
      <c r="CE20" s="795"/>
      <c r="CF20" s="657"/>
      <c r="CG20" s="655"/>
      <c r="CH20" s="152"/>
      <c r="CI20" s="675"/>
      <c r="CJ20" s="655"/>
      <c r="CK20" s="284" t="e">
        <f t="shared" si="5"/>
        <v>#DIV/0!</v>
      </c>
      <c r="CL20" s="710"/>
      <c r="CM20" s="710"/>
      <c r="CN20" s="64" t="e">
        <f t="shared" si="12"/>
        <v>#DIV/0!</v>
      </c>
      <c r="CO20" s="159"/>
      <c r="CP20" s="159"/>
      <c r="CQ20" s="51"/>
      <c r="CR20" s="639"/>
      <c r="CS20" s="489"/>
      <c r="CT20" s="285"/>
      <c r="CU20" s="742"/>
      <c r="CV20" s="489"/>
      <c r="CW20" s="285"/>
      <c r="CX20" s="742"/>
      <c r="CY20" s="489"/>
      <c r="CZ20" s="285"/>
      <c r="DA20" s="742"/>
      <c r="DB20" s="489"/>
      <c r="DC20" s="717"/>
      <c r="DD20" s="639"/>
      <c r="DE20" s="489"/>
      <c r="DF20" s="285"/>
      <c r="DG20" s="159">
        <v>1467.1</v>
      </c>
      <c r="DH20" s="159">
        <f>122.3*6</f>
        <v>733.8</v>
      </c>
      <c r="DI20" s="64">
        <f t="shared" si="13"/>
        <v>50.01704041987595</v>
      </c>
      <c r="DJ20" s="639"/>
      <c r="DK20" s="489"/>
      <c r="DL20" s="70"/>
      <c r="DM20" s="67"/>
      <c r="DN20" s="68"/>
      <c r="DO20" s="70"/>
      <c r="DP20" s="67"/>
      <c r="DQ20" s="68"/>
      <c r="DR20" s="51"/>
      <c r="DS20" s="67">
        <v>14.02124</v>
      </c>
      <c r="DT20" s="68">
        <v>14.02124</v>
      </c>
      <c r="DU20" s="64">
        <f t="shared" si="9"/>
        <v>100</v>
      </c>
      <c r="DV20" s="159">
        <v>13.764</v>
      </c>
      <c r="DW20" s="68">
        <v>13.764</v>
      </c>
      <c r="DX20" s="70">
        <f t="shared" si="10"/>
        <v>100</v>
      </c>
      <c r="DY20" s="67"/>
      <c r="DZ20" s="68"/>
      <c r="EA20" s="64"/>
      <c r="EB20" s="159"/>
      <c r="EC20" s="68"/>
      <c r="ED20" s="64"/>
      <c r="EE20" s="159">
        <v>4.62</v>
      </c>
      <c r="EF20" s="68">
        <v>4.62</v>
      </c>
      <c r="EG20" s="64">
        <f t="shared" si="14"/>
        <v>100</v>
      </c>
      <c r="EH20" s="67">
        <f>C20+F20+I20+L20+O20+R20+U20+X20+AA20+AD20+AG20+AM20+AP20+AS20+AV20+AY20+BB20+BE20+BH20+BT20+BW20+BZ20+BQ20+EE20+DJ20+CI20+AJ20+DV20+DS20</f>
        <v>2130.9231299999997</v>
      </c>
      <c r="EI20" s="159">
        <f>D20+G20+J20+M20+P20+S20+V20+Y20+AB20+AE20+AH20+AN20+AQ20+AT20+AW20+AZ20+BC20+BF20+BI20+BU20+BX20+CA20+BR20+EF20+DK20+CJ20+AK20+DW20+DT20</f>
        <v>999.83182</v>
      </c>
      <c r="EJ20" s="64">
        <f t="shared" si="6"/>
        <v>46.92012611454455</v>
      </c>
      <c r="EK20" s="274"/>
      <c r="EL20" s="71"/>
    </row>
    <row r="21" spans="1:142" s="2" customFormat="1" ht="20.25">
      <c r="A21" s="203" t="s">
        <v>24</v>
      </c>
      <c r="B21" s="215" t="s">
        <v>160</v>
      </c>
      <c r="C21" s="67">
        <v>308.078</v>
      </c>
      <c r="D21" s="70">
        <v>126.51209</v>
      </c>
      <c r="E21" s="52">
        <f t="shared" si="0"/>
        <v>41.064954329747664</v>
      </c>
      <c r="F21" s="67"/>
      <c r="G21" s="68"/>
      <c r="H21" s="64"/>
      <c r="I21" s="67"/>
      <c r="J21" s="68"/>
      <c r="K21" s="52"/>
      <c r="L21" s="67">
        <v>513.829</v>
      </c>
      <c r="M21" s="68">
        <v>224.73379</v>
      </c>
      <c r="N21" s="152">
        <f aca="true" t="shared" si="15" ref="N21:N29">(M21/L21)*100</f>
        <v>43.73707789945683</v>
      </c>
      <c r="O21" s="67"/>
      <c r="P21" s="68"/>
      <c r="Q21" s="51"/>
      <c r="R21" s="67"/>
      <c r="S21" s="68"/>
      <c r="T21" s="284" t="e">
        <f>(S21/R21)*100</f>
        <v>#DIV/0!</v>
      </c>
      <c r="U21" s="92"/>
      <c r="V21" s="55"/>
      <c r="W21" s="52"/>
      <c r="X21" s="67">
        <v>1</v>
      </c>
      <c r="Y21" s="55"/>
      <c r="Z21" s="52">
        <f>(Y21/X21)*100</f>
        <v>0</v>
      </c>
      <c r="AA21" s="67"/>
      <c r="AB21" s="68"/>
      <c r="AC21" s="52"/>
      <c r="AD21" s="67"/>
      <c r="AE21" s="68"/>
      <c r="AF21" s="52"/>
      <c r="AG21" s="67"/>
      <c r="AH21" s="68"/>
      <c r="AI21" s="51"/>
      <c r="AJ21" s="67"/>
      <c r="AK21" s="68"/>
      <c r="AL21" s="64"/>
      <c r="AM21" s="159"/>
      <c r="AN21" s="68"/>
      <c r="AO21" s="52"/>
      <c r="AP21" s="67"/>
      <c r="AQ21" s="68"/>
      <c r="AR21" s="52"/>
      <c r="AS21" s="67"/>
      <c r="AT21" s="68"/>
      <c r="AU21" s="284" t="e">
        <f t="shared" si="7"/>
        <v>#DIV/0!</v>
      </c>
      <c r="AV21" s="67"/>
      <c r="AW21" s="55"/>
      <c r="AX21" s="52"/>
      <c r="AY21" s="67">
        <v>135.835</v>
      </c>
      <c r="AZ21" s="68"/>
      <c r="BA21" s="52">
        <f>(AZ21/AY21)*100</f>
        <v>0</v>
      </c>
      <c r="BB21" s="92">
        <v>103.0859</v>
      </c>
      <c r="BC21" s="68">
        <v>29.90497</v>
      </c>
      <c r="BD21" s="52">
        <f t="shared" si="4"/>
        <v>29.009757881533748</v>
      </c>
      <c r="BE21" s="67"/>
      <c r="BF21" s="68"/>
      <c r="BG21" s="52"/>
      <c r="BH21" s="67"/>
      <c r="BI21" s="68"/>
      <c r="BJ21" s="51"/>
      <c r="BK21" s="67"/>
      <c r="BL21" s="68"/>
      <c r="BM21" s="70"/>
      <c r="BN21" s="67"/>
      <c r="BO21" s="68"/>
      <c r="BP21" s="64"/>
      <c r="BQ21" s="159"/>
      <c r="BR21" s="68"/>
      <c r="BS21" s="644"/>
      <c r="BT21" s="159"/>
      <c r="BU21" s="68"/>
      <c r="BV21" s="52"/>
      <c r="BW21" s="67"/>
      <c r="BX21" s="68"/>
      <c r="BY21" s="52"/>
      <c r="BZ21" s="67"/>
      <c r="CA21" s="68"/>
      <c r="CB21" s="681" t="e">
        <f t="shared" si="11"/>
        <v>#DIV/0!</v>
      </c>
      <c r="CC21" s="680"/>
      <c r="CD21" s="677"/>
      <c r="CE21" s="795"/>
      <c r="CF21" s="657"/>
      <c r="CG21" s="655"/>
      <c r="CH21" s="152"/>
      <c r="CI21" s="675"/>
      <c r="CJ21" s="655"/>
      <c r="CK21" s="284" t="e">
        <f t="shared" si="5"/>
        <v>#DIV/0!</v>
      </c>
      <c r="CL21" s="710"/>
      <c r="CM21" s="710"/>
      <c r="CN21" s="64" t="e">
        <f t="shared" si="12"/>
        <v>#DIV/0!</v>
      </c>
      <c r="CO21" s="159"/>
      <c r="CP21" s="159"/>
      <c r="CQ21" s="51"/>
      <c r="CR21" s="639"/>
      <c r="CS21" s="489"/>
      <c r="CT21" s="285"/>
      <c r="CU21" s="742"/>
      <c r="CV21" s="489"/>
      <c r="CW21" s="285"/>
      <c r="CX21" s="742"/>
      <c r="CY21" s="489"/>
      <c r="CZ21" s="285"/>
      <c r="DA21" s="742"/>
      <c r="DB21" s="489"/>
      <c r="DC21" s="717"/>
      <c r="DD21" s="639"/>
      <c r="DE21" s="489"/>
      <c r="DF21" s="285"/>
      <c r="DG21" s="159">
        <v>510.3</v>
      </c>
      <c r="DH21" s="159">
        <f>42.5*6</f>
        <v>255</v>
      </c>
      <c r="DI21" s="64">
        <f t="shared" si="13"/>
        <v>49.97060552616108</v>
      </c>
      <c r="DJ21" s="639"/>
      <c r="DK21" s="489"/>
      <c r="DL21" s="70"/>
      <c r="DM21" s="67"/>
      <c r="DN21" s="68"/>
      <c r="DO21" s="70"/>
      <c r="DP21" s="67"/>
      <c r="DQ21" s="68"/>
      <c r="DR21" s="51"/>
      <c r="DS21" s="67">
        <v>5.957</v>
      </c>
      <c r="DT21" s="68">
        <v>5.957</v>
      </c>
      <c r="DU21" s="64">
        <f t="shared" si="9"/>
        <v>100</v>
      </c>
      <c r="DV21" s="159">
        <v>5.208</v>
      </c>
      <c r="DW21" s="68">
        <v>5.208</v>
      </c>
      <c r="DX21" s="70">
        <f t="shared" si="10"/>
        <v>100</v>
      </c>
      <c r="DY21" s="67"/>
      <c r="DZ21" s="68"/>
      <c r="EA21" s="64"/>
      <c r="EB21" s="159"/>
      <c r="EC21" s="68"/>
      <c r="ED21" s="64"/>
      <c r="EE21" s="159">
        <v>1.7</v>
      </c>
      <c r="EF21" s="68">
        <v>1.7</v>
      </c>
      <c r="EG21" s="64">
        <f t="shared" si="14"/>
        <v>100</v>
      </c>
      <c r="EH21" s="67">
        <f>C21+F21+I21+L21+O21+R21+U21+X21+AA21+AD21+AG21+AM21+AP21+AS21+AV21+AY21+BB21+BE21+BH21+BT21+BW21+BZ21+EE21+DJ21+CI21+DS21+DV21</f>
        <v>1074.6929000000002</v>
      </c>
      <c r="EI21" s="932">
        <f>D21+G21+J21+M21+P21+S21+V21+Y21+AB21+AE21+AH21+AN21+AQ21+AT21+AW21+AZ21+BC21+BF21+BI21+BU21+BX21+CA21+EF21+DK21+CJ21+DT21+DW21</f>
        <v>394.01585</v>
      </c>
      <c r="EJ21" s="64">
        <f t="shared" si="6"/>
        <v>36.66311092219925</v>
      </c>
      <c r="EK21" s="274"/>
      <c r="EL21" s="71"/>
    </row>
    <row r="22" spans="1:142" s="2" customFormat="1" ht="20.25">
      <c r="A22" s="203" t="s">
        <v>25</v>
      </c>
      <c r="B22" s="214" t="s">
        <v>161</v>
      </c>
      <c r="C22" s="67">
        <v>1000.2</v>
      </c>
      <c r="D22" s="70">
        <v>387.63245</v>
      </c>
      <c r="E22" s="52">
        <f t="shared" si="0"/>
        <v>38.75549390121976</v>
      </c>
      <c r="F22" s="67"/>
      <c r="G22" s="68"/>
      <c r="H22" s="64"/>
      <c r="I22" s="67"/>
      <c r="J22" s="68"/>
      <c r="K22" s="52"/>
      <c r="L22" s="67">
        <v>2059.2</v>
      </c>
      <c r="M22" s="68">
        <v>769.35766</v>
      </c>
      <c r="N22" s="152">
        <f t="shared" si="15"/>
        <v>37.36196872571873</v>
      </c>
      <c r="O22" s="67"/>
      <c r="P22" s="68"/>
      <c r="Q22" s="51"/>
      <c r="R22" s="67">
        <v>224.7</v>
      </c>
      <c r="S22" s="68">
        <v>109.83295</v>
      </c>
      <c r="T22" s="52">
        <f>(S22/R22)*100</f>
        <v>48.879817534490435</v>
      </c>
      <c r="U22" s="92"/>
      <c r="V22" s="55"/>
      <c r="W22" s="52"/>
      <c r="X22" s="67">
        <v>30</v>
      </c>
      <c r="Y22" s="55">
        <v>12</v>
      </c>
      <c r="Z22" s="52">
        <f aca="true" t="shared" si="16" ref="Z22:Z29">(Y22/X22)*100</f>
        <v>40</v>
      </c>
      <c r="AA22" s="67"/>
      <c r="AB22" s="68"/>
      <c r="AC22" s="52"/>
      <c r="AD22" s="67"/>
      <c r="AE22" s="68"/>
      <c r="AF22" s="52"/>
      <c r="AG22" s="67"/>
      <c r="AH22" s="68"/>
      <c r="AI22" s="51"/>
      <c r="AJ22" s="67"/>
      <c r="AK22" s="68"/>
      <c r="AL22" s="64"/>
      <c r="AM22" s="159"/>
      <c r="AN22" s="68"/>
      <c r="AO22" s="52"/>
      <c r="AP22" s="67"/>
      <c r="AQ22" s="68"/>
      <c r="AR22" s="52"/>
      <c r="AS22" s="67"/>
      <c r="AT22" s="68"/>
      <c r="AU22" s="284" t="e">
        <f t="shared" si="7"/>
        <v>#DIV/0!</v>
      </c>
      <c r="AV22" s="67"/>
      <c r="AW22" s="55"/>
      <c r="AX22" s="52"/>
      <c r="AY22" s="67">
        <v>237.60296</v>
      </c>
      <c r="AZ22" s="68">
        <v>84.70794</v>
      </c>
      <c r="BA22" s="52">
        <f>(AZ22/AY22)*100</f>
        <v>35.65104576138277</v>
      </c>
      <c r="BB22" s="159">
        <v>483.7</v>
      </c>
      <c r="BC22" s="68">
        <v>160.50651</v>
      </c>
      <c r="BD22" s="52">
        <f t="shared" si="4"/>
        <v>33.18307008476328</v>
      </c>
      <c r="BE22" s="67"/>
      <c r="BF22" s="68"/>
      <c r="BG22" s="52"/>
      <c r="BH22" s="67"/>
      <c r="BI22" s="68"/>
      <c r="BJ22" s="51"/>
      <c r="BK22" s="67"/>
      <c r="BL22" s="68"/>
      <c r="BM22" s="70"/>
      <c r="BN22" s="67"/>
      <c r="BO22" s="68"/>
      <c r="BP22" s="64"/>
      <c r="BQ22" s="159">
        <v>99.9</v>
      </c>
      <c r="BR22" s="68"/>
      <c r="BS22" s="644">
        <f aca="true" t="shared" si="17" ref="BS22:BS27">BR22/BQ22*100</f>
        <v>0</v>
      </c>
      <c r="BT22" s="159"/>
      <c r="BU22" s="68"/>
      <c r="BV22" s="52"/>
      <c r="BW22" s="67"/>
      <c r="BX22" s="68"/>
      <c r="BY22" s="52"/>
      <c r="BZ22" s="67"/>
      <c r="CA22" s="68"/>
      <c r="CB22" s="681" t="e">
        <f t="shared" si="11"/>
        <v>#DIV/0!</v>
      </c>
      <c r="CC22" s="680"/>
      <c r="CD22" s="677"/>
      <c r="CE22" s="795"/>
      <c r="CF22" s="657"/>
      <c r="CG22" s="655"/>
      <c r="CH22" s="152"/>
      <c r="CI22" s="675"/>
      <c r="CJ22" s="655"/>
      <c r="CK22" s="284" t="e">
        <f t="shared" si="5"/>
        <v>#DIV/0!</v>
      </c>
      <c r="CL22" s="710"/>
      <c r="CM22" s="710"/>
      <c r="CN22" s="64" t="e">
        <f t="shared" si="12"/>
        <v>#DIV/0!</v>
      </c>
      <c r="CO22" s="159"/>
      <c r="CP22" s="159"/>
      <c r="CQ22" s="51"/>
      <c r="CR22" s="639"/>
      <c r="CS22" s="489"/>
      <c r="CT22" s="285"/>
      <c r="CU22" s="742"/>
      <c r="CV22" s="489"/>
      <c r="CW22" s="285"/>
      <c r="CX22" s="742"/>
      <c r="CY22" s="489"/>
      <c r="CZ22" s="285"/>
      <c r="DA22" s="742"/>
      <c r="DB22" s="489"/>
      <c r="DC22" s="717"/>
      <c r="DD22" s="639"/>
      <c r="DE22" s="489"/>
      <c r="DF22" s="285"/>
      <c r="DG22" s="159">
        <v>1612.6</v>
      </c>
      <c r="DH22" s="159">
        <f>134.4*5+30</f>
        <v>702</v>
      </c>
      <c r="DI22" s="64">
        <f t="shared" si="13"/>
        <v>43.532184050601515</v>
      </c>
      <c r="DJ22" s="67"/>
      <c r="DK22" s="68"/>
      <c r="DL22" s="717" t="e">
        <f t="shared" si="8"/>
        <v>#DIV/0!</v>
      </c>
      <c r="DM22" s="67"/>
      <c r="DN22" s="68"/>
      <c r="DO22" s="70"/>
      <c r="DP22" s="67"/>
      <c r="DQ22" s="68"/>
      <c r="DR22" s="51"/>
      <c r="DS22" s="67">
        <v>37.942</v>
      </c>
      <c r="DT22" s="68">
        <v>37.942</v>
      </c>
      <c r="DU22" s="64">
        <f t="shared" si="9"/>
        <v>100</v>
      </c>
      <c r="DV22" s="159">
        <v>38.316</v>
      </c>
      <c r="DW22" s="68">
        <v>12.772</v>
      </c>
      <c r="DX22" s="70">
        <f t="shared" si="10"/>
        <v>33.33333333333333</v>
      </c>
      <c r="DY22" s="67"/>
      <c r="DZ22" s="68"/>
      <c r="EA22" s="64"/>
      <c r="EB22" s="159"/>
      <c r="EC22" s="68"/>
      <c r="ED22" s="64"/>
      <c r="EE22" s="159">
        <v>11.8</v>
      </c>
      <c r="EF22" s="68">
        <v>11.8</v>
      </c>
      <c r="EG22" s="64">
        <f t="shared" si="14"/>
        <v>100</v>
      </c>
      <c r="EH22" s="67">
        <f>C22+F22+I22+L22+O22+R22+U22+X22+AA22+AD22+AG22+AM22+AP22+AS22+AV22+AY22+BB22+BE22+BH22+BT22+BW22+BZ22+EE22+DJ22+BQ22+CI22+DV22+DS22</f>
        <v>4223.360959999999</v>
      </c>
      <c r="EI22" s="932">
        <f>D22+G22+J22+M22+P22+S22+V22+Y22+AB22+AE22+AH22+AN22+AQ22+AT22+AW22+AZ22+BC22+BF22+BI22+BU22+BX22+CA22+EF22+DK22+BR22+CJ22+DW22+DT22</f>
        <v>1586.5515099999998</v>
      </c>
      <c r="EJ22" s="64">
        <f t="shared" si="6"/>
        <v>37.56608836011024</v>
      </c>
      <c r="EK22" s="274"/>
      <c r="EL22" s="71"/>
    </row>
    <row r="23" spans="1:142" s="2" customFormat="1" ht="20.25">
      <c r="A23" s="203" t="s">
        <v>26</v>
      </c>
      <c r="B23" s="214" t="s">
        <v>177</v>
      </c>
      <c r="C23" s="67">
        <v>546.8</v>
      </c>
      <c r="D23" s="70">
        <v>231.02902</v>
      </c>
      <c r="E23" s="52">
        <f t="shared" si="0"/>
        <v>42.25110095098757</v>
      </c>
      <c r="F23" s="67"/>
      <c r="G23" s="68"/>
      <c r="H23" s="64"/>
      <c r="I23" s="67"/>
      <c r="J23" s="68"/>
      <c r="K23" s="52"/>
      <c r="L23" s="67">
        <v>1222.5</v>
      </c>
      <c r="M23" s="68">
        <v>501.65353</v>
      </c>
      <c r="N23" s="152">
        <f t="shared" si="15"/>
        <v>41.035053578732104</v>
      </c>
      <c r="O23" s="192"/>
      <c r="P23" s="68"/>
      <c r="Q23" s="51"/>
      <c r="R23" s="67"/>
      <c r="S23" s="68"/>
      <c r="T23" s="52"/>
      <c r="U23" s="92"/>
      <c r="V23" s="55"/>
      <c r="W23" s="52"/>
      <c r="X23" s="67">
        <v>5</v>
      </c>
      <c r="Y23" s="55"/>
      <c r="Z23" s="52">
        <f t="shared" si="16"/>
        <v>0</v>
      </c>
      <c r="AA23" s="67"/>
      <c r="AB23" s="68"/>
      <c r="AC23" s="52"/>
      <c r="AD23" s="67"/>
      <c r="AE23" s="68"/>
      <c r="AF23" s="52"/>
      <c r="AG23" s="67"/>
      <c r="AH23" s="68"/>
      <c r="AI23" s="51"/>
      <c r="AJ23" s="67">
        <v>10.358</v>
      </c>
      <c r="AK23" s="68">
        <v>2.7112</v>
      </c>
      <c r="AL23" s="64">
        <f>AK23/AJ23*100</f>
        <v>26.174937246572693</v>
      </c>
      <c r="AM23" s="159"/>
      <c r="AN23" s="68"/>
      <c r="AO23" s="52"/>
      <c r="AP23" s="67"/>
      <c r="AQ23" s="68"/>
      <c r="AR23" s="52"/>
      <c r="AS23" s="67"/>
      <c r="AT23" s="68"/>
      <c r="AU23" s="284" t="e">
        <f t="shared" si="7"/>
        <v>#DIV/0!</v>
      </c>
      <c r="AV23" s="67"/>
      <c r="AW23" s="55"/>
      <c r="AX23" s="52"/>
      <c r="AY23" s="67">
        <v>30</v>
      </c>
      <c r="AZ23" s="68">
        <v>29.97565</v>
      </c>
      <c r="BA23" s="52">
        <f>(AZ23/AY23)*100</f>
        <v>99.91883333333334</v>
      </c>
      <c r="BB23" s="159">
        <v>292</v>
      </c>
      <c r="BC23" s="68">
        <v>122.43601</v>
      </c>
      <c r="BD23" s="52">
        <f t="shared" si="4"/>
        <v>41.930140410958906</v>
      </c>
      <c r="BE23" s="67"/>
      <c r="BF23" s="68"/>
      <c r="BG23" s="52"/>
      <c r="BH23" s="67"/>
      <c r="BI23" s="68"/>
      <c r="BJ23" s="51"/>
      <c r="BK23" s="67"/>
      <c r="BL23" s="68"/>
      <c r="BM23" s="70"/>
      <c r="BN23" s="67"/>
      <c r="BO23" s="68"/>
      <c r="BP23" s="64"/>
      <c r="BQ23" s="159"/>
      <c r="BR23" s="68"/>
      <c r="BS23" s="724" t="e">
        <f t="shared" si="17"/>
        <v>#DIV/0!</v>
      </c>
      <c r="BT23" s="159"/>
      <c r="BU23" s="68"/>
      <c r="BV23" s="52"/>
      <c r="BW23" s="67"/>
      <c r="BX23" s="68"/>
      <c r="BY23" s="52"/>
      <c r="BZ23" s="67"/>
      <c r="CA23" s="68"/>
      <c r="CB23" s="681" t="e">
        <f t="shared" si="11"/>
        <v>#DIV/0!</v>
      </c>
      <c r="CC23" s="680"/>
      <c r="CD23" s="677"/>
      <c r="CE23" s="795"/>
      <c r="CF23" s="657"/>
      <c r="CG23" s="655"/>
      <c r="CH23" s="152"/>
      <c r="CI23" s="675"/>
      <c r="CJ23" s="655"/>
      <c r="CK23" s="284" t="e">
        <f t="shared" si="5"/>
        <v>#DIV/0!</v>
      </c>
      <c r="CL23" s="710"/>
      <c r="CM23" s="710"/>
      <c r="CN23" s="64" t="e">
        <f t="shared" si="12"/>
        <v>#DIV/0!</v>
      </c>
      <c r="CO23" s="159"/>
      <c r="CP23" s="159"/>
      <c r="CQ23" s="51"/>
      <c r="CR23" s="639"/>
      <c r="CS23" s="489"/>
      <c r="CT23" s="285"/>
      <c r="CU23" s="159">
        <v>4.8</v>
      </c>
      <c r="CV23" s="68"/>
      <c r="CW23" s="64">
        <f>CV23/CU23*100</f>
        <v>0</v>
      </c>
      <c r="CX23" s="742"/>
      <c r="CY23" s="489"/>
      <c r="CZ23" s="285"/>
      <c r="DA23" s="742"/>
      <c r="DB23" s="489"/>
      <c r="DC23" s="717"/>
      <c r="DD23" s="639"/>
      <c r="DE23" s="489"/>
      <c r="DF23" s="285"/>
      <c r="DG23" s="159">
        <v>976.4</v>
      </c>
      <c r="DH23" s="159">
        <f>81.4*6</f>
        <v>488.40000000000003</v>
      </c>
      <c r="DI23" s="64">
        <f t="shared" si="13"/>
        <v>50.02048340843916</v>
      </c>
      <c r="DJ23" s="67">
        <v>10</v>
      </c>
      <c r="DK23" s="68">
        <v>10</v>
      </c>
      <c r="DL23" s="70">
        <f>DK23/DJ23*100</f>
        <v>100</v>
      </c>
      <c r="DM23" s="67"/>
      <c r="DN23" s="68"/>
      <c r="DO23" s="70"/>
      <c r="DP23" s="67"/>
      <c r="DQ23" s="68"/>
      <c r="DR23" s="51"/>
      <c r="DS23" s="67">
        <v>13.812</v>
      </c>
      <c r="DT23" s="68">
        <v>13.812</v>
      </c>
      <c r="DU23" s="64">
        <f t="shared" si="9"/>
        <v>100</v>
      </c>
      <c r="DV23" s="159">
        <v>10.23</v>
      </c>
      <c r="DW23" s="68">
        <v>10.23</v>
      </c>
      <c r="DX23" s="70">
        <f t="shared" si="10"/>
        <v>100</v>
      </c>
      <c r="DY23" s="67"/>
      <c r="DZ23" s="68"/>
      <c r="EA23" s="64"/>
      <c r="EB23" s="159"/>
      <c r="EC23" s="68"/>
      <c r="ED23" s="64"/>
      <c r="EE23" s="159">
        <v>4.6</v>
      </c>
      <c r="EF23" s="68">
        <v>2</v>
      </c>
      <c r="EG23" s="64">
        <f t="shared" si="14"/>
        <v>43.47826086956522</v>
      </c>
      <c r="EH23" s="67">
        <f>C23+F23+I23+L23+O23+R23+U23+X23+AA23+AD23+AG23+AM23+AP23+AS23+AV23+AY23+BB23+BE23+BH23+BT23+BW23+BZ23+EE23+DJ23+BQ23+CI23+DV23+DS23+CU23+AJ23</f>
        <v>2150.1000000000004</v>
      </c>
      <c r="EI23" s="932">
        <f>D23+G23+J23+M23+P23+S23+V23+Y23+AB23+AE23+AH23+AN23+AQ23+AT23+AW23+AZ23+BC23+BF23+BI23+BU23+BX23+CA23+EF23+DK23+BR23+CJ23+DW23+DT23+AK23</f>
        <v>923.84741</v>
      </c>
      <c r="EJ23" s="64">
        <f t="shared" si="6"/>
        <v>42.96764848146597</v>
      </c>
      <c r="EK23" s="274"/>
      <c r="EL23" s="71"/>
    </row>
    <row r="24" spans="1:142" s="2" customFormat="1" ht="20.25">
      <c r="A24" s="203" t="s">
        <v>27</v>
      </c>
      <c r="B24" s="215" t="s">
        <v>162</v>
      </c>
      <c r="C24" s="67">
        <v>736.6</v>
      </c>
      <c r="D24" s="70">
        <v>290.7057</v>
      </c>
      <c r="E24" s="52">
        <f t="shared" si="0"/>
        <v>39.46588379038827</v>
      </c>
      <c r="F24" s="67"/>
      <c r="G24" s="68"/>
      <c r="H24" s="64"/>
      <c r="I24" s="67"/>
      <c r="J24" s="68"/>
      <c r="K24" s="52"/>
      <c r="L24" s="67">
        <v>1306.103</v>
      </c>
      <c r="M24" s="68">
        <v>494.31066</v>
      </c>
      <c r="N24" s="152">
        <f t="shared" si="15"/>
        <v>37.84622346017121</v>
      </c>
      <c r="O24" s="67"/>
      <c r="P24" s="68"/>
      <c r="Q24" s="51"/>
      <c r="R24" s="67"/>
      <c r="S24" s="68"/>
      <c r="T24" s="52"/>
      <c r="U24" s="92"/>
      <c r="V24" s="55"/>
      <c r="W24" s="52"/>
      <c r="X24" s="67">
        <v>20</v>
      </c>
      <c r="Y24" s="55">
        <v>3.6</v>
      </c>
      <c r="Z24" s="52">
        <f t="shared" si="16"/>
        <v>18</v>
      </c>
      <c r="AA24" s="67"/>
      <c r="AB24" s="68"/>
      <c r="AC24" s="52"/>
      <c r="AD24" s="67"/>
      <c r="AE24" s="68"/>
      <c r="AF24" s="52"/>
      <c r="AG24" s="67"/>
      <c r="AH24" s="68"/>
      <c r="AI24" s="51"/>
      <c r="AJ24" s="67"/>
      <c r="AK24" s="68"/>
      <c r="AL24" s="64"/>
      <c r="AM24" s="159"/>
      <c r="AN24" s="68"/>
      <c r="AO24" s="52"/>
      <c r="AP24" s="67"/>
      <c r="AQ24" s="68"/>
      <c r="AR24" s="52"/>
      <c r="AS24" s="67"/>
      <c r="AT24" s="68"/>
      <c r="AU24" s="284" t="e">
        <f t="shared" si="7"/>
        <v>#DIV/0!</v>
      </c>
      <c r="AV24" s="67"/>
      <c r="AW24" s="55"/>
      <c r="AX24" s="52"/>
      <c r="AY24" s="67">
        <v>399.333</v>
      </c>
      <c r="AZ24" s="68">
        <v>138.74354</v>
      </c>
      <c r="BA24" s="52">
        <f aca="true" t="shared" si="18" ref="BA24:BA29">(AZ24/AY24)*100</f>
        <v>34.74382032038424</v>
      </c>
      <c r="BB24" s="159">
        <v>178.6</v>
      </c>
      <c r="BC24" s="68">
        <v>57.63601</v>
      </c>
      <c r="BD24" s="52">
        <f t="shared" si="4"/>
        <v>32.27100223964165</v>
      </c>
      <c r="BE24" s="67"/>
      <c r="BF24" s="68"/>
      <c r="BG24" s="52"/>
      <c r="BH24" s="67"/>
      <c r="BI24" s="68"/>
      <c r="BJ24" s="641"/>
      <c r="BK24" s="657"/>
      <c r="BL24" s="655"/>
      <c r="BM24" s="776"/>
      <c r="BN24" s="657"/>
      <c r="BO24" s="655"/>
      <c r="BP24" s="152"/>
      <c r="BQ24" s="159">
        <v>100</v>
      </c>
      <c r="BR24" s="68">
        <v>12.478</v>
      </c>
      <c r="BS24" s="644">
        <f t="shared" si="17"/>
        <v>12.478</v>
      </c>
      <c r="BT24" s="159"/>
      <c r="BU24" s="68"/>
      <c r="BV24" s="52"/>
      <c r="BW24" s="67"/>
      <c r="BX24" s="68"/>
      <c r="BY24" s="52"/>
      <c r="BZ24" s="67"/>
      <c r="CA24" s="68"/>
      <c r="CB24" s="681" t="e">
        <f t="shared" si="11"/>
        <v>#DIV/0!</v>
      </c>
      <c r="CC24" s="680"/>
      <c r="CD24" s="677"/>
      <c r="CE24" s="795"/>
      <c r="CF24" s="657">
        <v>111.335</v>
      </c>
      <c r="CG24" s="655">
        <v>55.6668</v>
      </c>
      <c r="CH24" s="152">
        <f>CG24/CF24*100</f>
        <v>49.99937126689721</v>
      </c>
      <c r="CI24" s="675"/>
      <c r="CJ24" s="655"/>
      <c r="CK24" s="284" t="e">
        <f t="shared" si="5"/>
        <v>#DIV/0!</v>
      </c>
      <c r="CL24" s="710"/>
      <c r="CM24" s="710"/>
      <c r="CN24" s="64" t="e">
        <f t="shared" si="12"/>
        <v>#DIV/0!</v>
      </c>
      <c r="CO24" s="159"/>
      <c r="CP24" s="159"/>
      <c r="CQ24" s="51"/>
      <c r="CR24" s="639"/>
      <c r="CS24" s="489"/>
      <c r="CT24" s="285"/>
      <c r="CU24" s="742"/>
      <c r="CV24" s="489"/>
      <c r="CW24" s="285"/>
      <c r="CX24" s="742"/>
      <c r="CY24" s="489"/>
      <c r="CZ24" s="285"/>
      <c r="DA24" s="742"/>
      <c r="DB24" s="489"/>
      <c r="DC24" s="717"/>
      <c r="DD24" s="67">
        <v>75</v>
      </c>
      <c r="DE24" s="68">
        <v>20</v>
      </c>
      <c r="DF24" s="64">
        <f>DE24/DD24*100</f>
        <v>26.666666666666668</v>
      </c>
      <c r="DG24" s="159">
        <v>1038.4</v>
      </c>
      <c r="DH24" s="159">
        <f>86.5*5+20.328</f>
        <v>452.828</v>
      </c>
      <c r="DI24" s="64">
        <f t="shared" si="13"/>
        <v>43.608243451463785</v>
      </c>
      <c r="DJ24" s="67">
        <v>30</v>
      </c>
      <c r="DK24" s="68">
        <v>30</v>
      </c>
      <c r="DL24" s="70">
        <f>DK24/DJ24*100</f>
        <v>100</v>
      </c>
      <c r="DM24" s="67"/>
      <c r="DN24" s="68"/>
      <c r="DO24" s="70"/>
      <c r="DP24" s="67"/>
      <c r="DQ24" s="68"/>
      <c r="DR24" s="51"/>
      <c r="DS24" s="67">
        <v>20.209</v>
      </c>
      <c r="DT24" s="68">
        <v>20.208</v>
      </c>
      <c r="DU24" s="64">
        <f t="shared" si="9"/>
        <v>99.99505170963432</v>
      </c>
      <c r="DV24" s="159">
        <v>21.204</v>
      </c>
      <c r="DW24" s="68">
        <v>21.204</v>
      </c>
      <c r="DX24" s="70">
        <f t="shared" si="10"/>
        <v>100</v>
      </c>
      <c r="DY24" s="67"/>
      <c r="DZ24" s="68"/>
      <c r="EA24" s="64"/>
      <c r="EB24" s="159"/>
      <c r="EC24" s="68"/>
      <c r="ED24" s="64"/>
      <c r="EE24" s="159">
        <v>6.8</v>
      </c>
      <c r="EF24" s="68">
        <v>6.8</v>
      </c>
      <c r="EG24" s="64">
        <f t="shared" si="14"/>
        <v>100</v>
      </c>
      <c r="EH24" s="933">
        <f>C24+F24+I24+L24+O24+R24+U24+X24+AA24+AD24+AG24+AM24+AP24+AS24+AV24+AY24+BB24+BE24+BH24+BT24+BW24+BZ24+EE24+DJ24+BQ24+CI24+DV24+DS24+CF24</f>
        <v>2930.184</v>
      </c>
      <c r="EI24" s="932">
        <f>D24+G24+J24+M24+P24+S24+V24+Y24+AB24+AE24+AH24+AN24+AQ24+AT24+AW24+AZ24+BC24+BF24+BI24+BU24+BX24+CA24+EF24+DK24+BR24+CJ24+DW24+DT24+CG24</f>
        <v>1131.35271</v>
      </c>
      <c r="EJ24" s="64">
        <f t="shared" si="6"/>
        <v>38.610295803949505</v>
      </c>
      <c r="EK24" s="274"/>
      <c r="EL24" s="71"/>
    </row>
    <row r="25" spans="1:142" s="2" customFormat="1" ht="20.25">
      <c r="A25" s="203" t="s">
        <v>28</v>
      </c>
      <c r="B25" s="215" t="s">
        <v>163</v>
      </c>
      <c r="C25" s="67">
        <v>966.726</v>
      </c>
      <c r="D25" s="70">
        <v>408.48295</v>
      </c>
      <c r="E25" s="52">
        <f t="shared" si="0"/>
        <v>42.25426335900762</v>
      </c>
      <c r="F25" s="67"/>
      <c r="G25" s="68"/>
      <c r="H25" s="64"/>
      <c r="I25" s="67"/>
      <c r="J25" s="68"/>
      <c r="K25" s="52"/>
      <c r="L25" s="67">
        <v>1617.54</v>
      </c>
      <c r="M25" s="68">
        <v>736.20826</v>
      </c>
      <c r="N25" s="152">
        <f t="shared" si="15"/>
        <v>45.514068276518664</v>
      </c>
      <c r="O25" s="67"/>
      <c r="P25" s="68"/>
      <c r="Q25" s="51"/>
      <c r="R25" s="67"/>
      <c r="S25" s="68"/>
      <c r="T25" s="52"/>
      <c r="U25" s="92"/>
      <c r="V25" s="55"/>
      <c r="W25" s="52"/>
      <c r="X25" s="67">
        <v>12</v>
      </c>
      <c r="Y25" s="68">
        <v>0.5</v>
      </c>
      <c r="Z25" s="52">
        <f t="shared" si="16"/>
        <v>4.166666666666666</v>
      </c>
      <c r="AA25" s="67"/>
      <c r="AB25" s="68"/>
      <c r="AC25" s="52"/>
      <c r="AD25" s="67"/>
      <c r="AE25" s="68"/>
      <c r="AF25" s="52"/>
      <c r="AG25" s="67"/>
      <c r="AH25" s="68"/>
      <c r="AI25" s="51"/>
      <c r="AJ25" s="67">
        <v>17.45</v>
      </c>
      <c r="AK25" s="68">
        <v>1.28652</v>
      </c>
      <c r="AL25" s="64">
        <f>AK25/AJ25*100</f>
        <v>7.372607449856734</v>
      </c>
      <c r="AM25" s="159"/>
      <c r="AN25" s="68"/>
      <c r="AO25" s="52"/>
      <c r="AP25" s="67">
        <v>33.7</v>
      </c>
      <c r="AQ25" s="68">
        <v>20.02538</v>
      </c>
      <c r="AR25" s="52">
        <f>AQ25/AP25*100</f>
        <v>59.42249258160236</v>
      </c>
      <c r="AS25" s="67"/>
      <c r="AT25" s="68"/>
      <c r="AU25" s="284" t="e">
        <f t="shared" si="7"/>
        <v>#DIV/0!</v>
      </c>
      <c r="AV25" s="67"/>
      <c r="AW25" s="55"/>
      <c r="AX25" s="52"/>
      <c r="AY25" s="67">
        <v>85.42</v>
      </c>
      <c r="AZ25" s="68">
        <v>39.88388</v>
      </c>
      <c r="BA25" s="52">
        <f t="shared" si="18"/>
        <v>46.69150081948021</v>
      </c>
      <c r="BB25" s="159">
        <v>251.05</v>
      </c>
      <c r="BC25" s="85">
        <v>113.20807</v>
      </c>
      <c r="BD25" s="52">
        <f t="shared" si="4"/>
        <v>45.093833897629956</v>
      </c>
      <c r="BE25" s="67"/>
      <c r="BF25" s="68"/>
      <c r="BG25" s="52"/>
      <c r="BH25" s="67"/>
      <c r="BI25" s="68"/>
      <c r="BJ25" s="51"/>
      <c r="BK25" s="67"/>
      <c r="BL25" s="68"/>
      <c r="BM25" s="70"/>
      <c r="BN25" s="67"/>
      <c r="BO25" s="68"/>
      <c r="BP25" s="64"/>
      <c r="BQ25" s="159">
        <v>15</v>
      </c>
      <c r="BR25" s="68">
        <v>0.3</v>
      </c>
      <c r="BS25" s="644">
        <f t="shared" si="17"/>
        <v>2</v>
      </c>
      <c r="BT25" s="159"/>
      <c r="BU25" s="55"/>
      <c r="BV25" s="52"/>
      <c r="BW25" s="67"/>
      <c r="BX25" s="68"/>
      <c r="BY25" s="52"/>
      <c r="BZ25" s="67"/>
      <c r="CA25" s="68"/>
      <c r="CB25" s="681" t="e">
        <f t="shared" si="11"/>
        <v>#DIV/0!</v>
      </c>
      <c r="CC25" s="680"/>
      <c r="CD25" s="677"/>
      <c r="CE25" s="795"/>
      <c r="CF25" s="657"/>
      <c r="CG25" s="655"/>
      <c r="CH25" s="152"/>
      <c r="CI25" s="675"/>
      <c r="CJ25" s="655"/>
      <c r="CK25" s="284" t="e">
        <f t="shared" si="5"/>
        <v>#DIV/0!</v>
      </c>
      <c r="CL25" s="710"/>
      <c r="CM25" s="710"/>
      <c r="CN25" s="64" t="e">
        <f t="shared" si="12"/>
        <v>#DIV/0!</v>
      </c>
      <c r="CO25" s="159"/>
      <c r="CP25" s="159"/>
      <c r="CQ25" s="51"/>
      <c r="CR25" s="639"/>
      <c r="CS25" s="489"/>
      <c r="CT25" s="285"/>
      <c r="CU25" s="742"/>
      <c r="CV25" s="489"/>
      <c r="CW25" s="285"/>
      <c r="CX25" s="742"/>
      <c r="CY25" s="489"/>
      <c r="CZ25" s="285"/>
      <c r="DA25" s="742"/>
      <c r="DB25" s="489"/>
      <c r="DC25" s="717"/>
      <c r="DD25" s="639"/>
      <c r="DE25" s="489"/>
      <c r="DF25" s="285"/>
      <c r="DG25" s="159">
        <v>1426.8</v>
      </c>
      <c r="DH25" s="159">
        <f>118.9*6</f>
        <v>713.4000000000001</v>
      </c>
      <c r="DI25" s="64">
        <f t="shared" si="13"/>
        <v>50.000000000000014</v>
      </c>
      <c r="DJ25" s="639"/>
      <c r="DK25" s="489"/>
      <c r="DL25" s="70"/>
      <c r="DM25" s="67"/>
      <c r="DN25" s="68"/>
      <c r="DO25" s="70"/>
      <c r="DP25" s="67">
        <v>33.2</v>
      </c>
      <c r="DQ25" s="68">
        <v>33.2</v>
      </c>
      <c r="DR25" s="51">
        <f>DQ25/DP25*100</f>
        <v>100</v>
      </c>
      <c r="DS25" s="67">
        <v>22.988</v>
      </c>
      <c r="DT25" s="68">
        <v>22.988</v>
      </c>
      <c r="DU25" s="64">
        <f t="shared" si="9"/>
        <v>100</v>
      </c>
      <c r="DV25" s="159">
        <v>26.226</v>
      </c>
      <c r="DW25" s="68">
        <v>26.226</v>
      </c>
      <c r="DX25" s="70">
        <f t="shared" si="10"/>
        <v>100</v>
      </c>
      <c r="DY25" s="67"/>
      <c r="DZ25" s="68"/>
      <c r="EA25" s="64"/>
      <c r="EB25" s="159"/>
      <c r="EC25" s="68"/>
      <c r="ED25" s="64"/>
      <c r="EE25" s="159">
        <v>8</v>
      </c>
      <c r="EF25" s="68">
        <v>8</v>
      </c>
      <c r="EG25" s="64">
        <f t="shared" si="14"/>
        <v>100</v>
      </c>
      <c r="EH25" s="67">
        <f>C25+F25+I25+L25+O25+R25+U25+X25+AA25+AD25+AG25+AM25+AP25+AS25+AV25+AY25+BB25+BE25+BH25+BT25+BW25+BZ25+EE25+DJ25+BQ25+CI25+AJ25+DV25+DS25+DP25</f>
        <v>3089.2999999999997</v>
      </c>
      <c r="EI25" s="932">
        <f>D25+G25+J25+M25+P25+S25+V25+Y25+AB25+AE25+AH25+AN25+AQ25+AT25+AW25+AZ25+BC25+BF25+BI25+BU25+BX25+CA25+EF25+DK25+BR25+CJ25+AK25+DW25+DT25+DQ25</f>
        <v>1410.30906</v>
      </c>
      <c r="EJ25" s="64">
        <f t="shared" si="6"/>
        <v>45.651411646651354</v>
      </c>
      <c r="EK25" s="274"/>
      <c r="EL25" s="71"/>
    </row>
    <row r="26" spans="1:142" s="2" customFormat="1" ht="21" thickBot="1">
      <c r="A26" s="203" t="s">
        <v>29</v>
      </c>
      <c r="B26" s="216" t="s">
        <v>164</v>
      </c>
      <c r="C26" s="84">
        <v>598.85</v>
      </c>
      <c r="D26" s="154">
        <v>263.02353</v>
      </c>
      <c r="E26" s="153">
        <f t="shared" si="0"/>
        <v>43.92143775569842</v>
      </c>
      <c r="F26" s="84"/>
      <c r="G26" s="85"/>
      <c r="H26" s="181"/>
      <c r="I26" s="84"/>
      <c r="J26" s="85"/>
      <c r="K26" s="75"/>
      <c r="L26" s="185">
        <v>1630.36855</v>
      </c>
      <c r="M26" s="144">
        <v>763.89182</v>
      </c>
      <c r="N26" s="189">
        <f t="shared" si="15"/>
        <v>46.85393495844851</v>
      </c>
      <c r="O26" s="84"/>
      <c r="P26" s="85"/>
      <c r="Q26" s="86"/>
      <c r="R26" s="84"/>
      <c r="S26" s="85"/>
      <c r="T26" s="75"/>
      <c r="U26" s="92"/>
      <c r="V26" s="55"/>
      <c r="W26" s="75"/>
      <c r="X26" s="84">
        <v>20</v>
      </c>
      <c r="Y26" s="85">
        <v>9.15</v>
      </c>
      <c r="Z26" s="52">
        <f t="shared" si="16"/>
        <v>45.75</v>
      </c>
      <c r="AA26" s="84"/>
      <c r="AB26" s="85"/>
      <c r="AC26" s="75"/>
      <c r="AD26" s="84"/>
      <c r="AE26" s="85"/>
      <c r="AF26" s="52"/>
      <c r="AG26" s="84"/>
      <c r="AH26" s="85"/>
      <c r="AI26" s="86"/>
      <c r="AJ26" s="185">
        <v>15</v>
      </c>
      <c r="AK26" s="196">
        <v>1.28486</v>
      </c>
      <c r="AL26" s="64">
        <f>AK26/AJ26*100</f>
        <v>8.565733333333332</v>
      </c>
      <c r="AM26" s="161"/>
      <c r="AN26" s="85"/>
      <c r="AO26" s="75"/>
      <c r="AP26" s="84"/>
      <c r="AQ26" s="85"/>
      <c r="AR26" s="75"/>
      <c r="AS26" s="84"/>
      <c r="AT26" s="85"/>
      <c r="AU26" s="284" t="e">
        <f t="shared" si="7"/>
        <v>#DIV/0!</v>
      </c>
      <c r="AV26" s="84"/>
      <c r="AW26" s="55"/>
      <c r="AX26" s="75"/>
      <c r="AY26" s="84">
        <v>78.4</v>
      </c>
      <c r="AZ26" s="85">
        <v>50.89264</v>
      </c>
      <c r="BA26" s="52">
        <f t="shared" si="18"/>
        <v>64.91408163265305</v>
      </c>
      <c r="BB26" s="193">
        <v>453.21289</v>
      </c>
      <c r="BC26" s="85">
        <v>179.56221</v>
      </c>
      <c r="BD26" s="75">
        <f t="shared" si="4"/>
        <v>39.6198373792943</v>
      </c>
      <c r="BE26" s="84"/>
      <c r="BF26" s="85"/>
      <c r="BG26" s="75"/>
      <c r="BH26" s="84">
        <v>15</v>
      </c>
      <c r="BI26" s="85">
        <v>4.314</v>
      </c>
      <c r="BJ26" s="641">
        <f>(BI26/BH26)*100</f>
        <v>28.76</v>
      </c>
      <c r="BK26" s="721"/>
      <c r="BL26" s="722"/>
      <c r="BM26" s="777"/>
      <c r="BN26" s="721"/>
      <c r="BO26" s="722"/>
      <c r="BP26" s="723"/>
      <c r="BQ26" s="638">
        <v>245.16416</v>
      </c>
      <c r="BR26" s="196">
        <v>101.97163</v>
      </c>
      <c r="BS26" s="645">
        <f t="shared" si="17"/>
        <v>41.593204324808326</v>
      </c>
      <c r="BT26" s="161"/>
      <c r="BU26" s="85"/>
      <c r="BV26" s="75"/>
      <c r="BW26" s="185"/>
      <c r="BX26" s="196"/>
      <c r="BY26" s="98"/>
      <c r="BZ26" s="185"/>
      <c r="CA26" s="196"/>
      <c r="CB26" s="687" t="e">
        <f t="shared" si="11"/>
        <v>#DIV/0!</v>
      </c>
      <c r="CC26" s="685"/>
      <c r="CD26" s="686"/>
      <c r="CE26" s="796"/>
      <c r="CF26" s="798"/>
      <c r="CG26" s="664"/>
      <c r="CH26" s="189"/>
      <c r="CI26" s="676"/>
      <c r="CJ26" s="664"/>
      <c r="CK26" s="737" t="e">
        <f t="shared" si="5"/>
        <v>#DIV/0!</v>
      </c>
      <c r="CL26" s="710"/>
      <c r="CM26" s="710"/>
      <c r="CN26" s="80" t="e">
        <f t="shared" si="12"/>
        <v>#DIV/0!</v>
      </c>
      <c r="CO26" s="161"/>
      <c r="CP26" s="161"/>
      <c r="CQ26" s="154"/>
      <c r="CR26" s="640"/>
      <c r="CS26" s="490"/>
      <c r="CT26" s="292"/>
      <c r="CU26" s="743"/>
      <c r="CV26" s="490"/>
      <c r="CW26" s="292"/>
      <c r="CX26" s="743"/>
      <c r="CY26" s="490"/>
      <c r="CZ26" s="292"/>
      <c r="DA26" s="743"/>
      <c r="DB26" s="490"/>
      <c r="DC26" s="733"/>
      <c r="DD26" s="640"/>
      <c r="DE26" s="490"/>
      <c r="DF26" s="292"/>
      <c r="DG26" s="638">
        <v>1720.6</v>
      </c>
      <c r="DH26" s="638">
        <f>143.1*6</f>
        <v>858.5999999999999</v>
      </c>
      <c r="DI26" s="80">
        <f t="shared" si="13"/>
        <v>49.90119725677089</v>
      </c>
      <c r="DJ26" s="185">
        <v>20</v>
      </c>
      <c r="DK26" s="196">
        <v>20</v>
      </c>
      <c r="DL26" s="70">
        <f>DK26/DJ26*100</f>
        <v>100</v>
      </c>
      <c r="DM26" s="185"/>
      <c r="DN26" s="196"/>
      <c r="DO26" s="424"/>
      <c r="DP26" s="84"/>
      <c r="DQ26" s="85"/>
      <c r="DR26" s="154"/>
      <c r="DS26" s="185">
        <v>29.39984</v>
      </c>
      <c r="DT26" s="196">
        <v>29.39984</v>
      </c>
      <c r="DU26" s="80">
        <f t="shared" si="9"/>
        <v>100</v>
      </c>
      <c r="DV26" s="638">
        <v>27.714</v>
      </c>
      <c r="DW26" s="196">
        <v>27.714</v>
      </c>
      <c r="DX26" s="424">
        <f t="shared" si="10"/>
        <v>100</v>
      </c>
      <c r="DY26" s="185"/>
      <c r="DZ26" s="196"/>
      <c r="EA26" s="80"/>
      <c r="EB26" s="638"/>
      <c r="EC26" s="196"/>
      <c r="ED26" s="80"/>
      <c r="EE26" s="638">
        <v>10</v>
      </c>
      <c r="EF26" s="196">
        <v>10</v>
      </c>
      <c r="EG26" s="80">
        <f t="shared" si="14"/>
        <v>100</v>
      </c>
      <c r="EH26" s="185">
        <f>C26+F26+I26+L26+O26+R26+U26+X26+AA26+AD26+AG26+AM26+AP26+AS26+AV26+AY26+BB26+BE26+BH26+BT26+BW26+BZ26+EE26+DJ26+BQ26+CI26+DV26+DS26+AJ26</f>
        <v>3143.1094399999997</v>
      </c>
      <c r="EI26" s="185">
        <v>1461.20453</v>
      </c>
      <c r="EJ26" s="181">
        <f t="shared" si="6"/>
        <v>46.489139430028885</v>
      </c>
      <c r="EK26" s="274"/>
      <c r="EL26" s="71"/>
    </row>
    <row r="27" spans="1:142" s="2" customFormat="1" ht="21" thickBot="1">
      <c r="A27" s="199"/>
      <c r="B27" s="662" t="s">
        <v>166</v>
      </c>
      <c r="C27" s="149">
        <f>SUM(C8:C26)</f>
        <v>12597.291120000002</v>
      </c>
      <c r="D27" s="88">
        <f>SUM(D8:D26)</f>
        <v>5237.98993</v>
      </c>
      <c r="E27" s="89">
        <f t="shared" si="0"/>
        <v>41.5802880167145</v>
      </c>
      <c r="F27" s="149"/>
      <c r="G27" s="94"/>
      <c r="H27" s="89"/>
      <c r="I27" s="149"/>
      <c r="J27" s="151"/>
      <c r="K27" s="158"/>
      <c r="L27" s="149">
        <f>SUM(L8:L26)</f>
        <v>20472.217380000002</v>
      </c>
      <c r="M27" s="151">
        <f>SUM(M8:M26)</f>
        <v>8406.91899</v>
      </c>
      <c r="N27" s="158">
        <f t="shared" si="15"/>
        <v>41.06501427741287</v>
      </c>
      <c r="O27" s="149"/>
      <c r="P27" s="151"/>
      <c r="Q27" s="89"/>
      <c r="R27" s="94">
        <f>SUM(R8:R26)</f>
        <v>919.1950000000002</v>
      </c>
      <c r="S27" s="149">
        <f>SUM(S8:S26)</f>
        <v>370.00462</v>
      </c>
      <c r="T27" s="89">
        <f>(S27/R27)*100</f>
        <v>40.253114953845476</v>
      </c>
      <c r="U27" s="94"/>
      <c r="V27" s="94"/>
      <c r="W27" s="89"/>
      <c r="X27" s="149">
        <f>SUM(X8:X26)</f>
        <v>282.2</v>
      </c>
      <c r="Y27" s="94">
        <f>SUM(Y8:Y26)</f>
        <v>72.5596</v>
      </c>
      <c r="Z27" s="89">
        <f t="shared" si="16"/>
        <v>25.712119064493272</v>
      </c>
      <c r="AA27" s="149">
        <f>SUM(AA8:AA26)</f>
        <v>0</v>
      </c>
      <c r="AB27" s="94">
        <f>SUM(AB8:AB26)</f>
        <v>0</v>
      </c>
      <c r="AC27" s="89"/>
      <c r="AD27" s="149">
        <f>SUM(AD8:AD26)</f>
        <v>0</v>
      </c>
      <c r="AE27" s="94">
        <f>SUM(AE8:AE26)</f>
        <v>0</v>
      </c>
      <c r="AF27" s="89"/>
      <c r="AG27" s="149"/>
      <c r="AH27" s="151"/>
      <c r="AI27" s="95"/>
      <c r="AJ27" s="149">
        <f>SUM(AJ8:AJ26)</f>
        <v>159.888</v>
      </c>
      <c r="AK27" s="151">
        <f>SUM(AK8:AK26)</f>
        <v>29.986549999999994</v>
      </c>
      <c r="AL27" s="89">
        <f>AK27/AJ27*100</f>
        <v>18.7547220554388</v>
      </c>
      <c r="AM27" s="94"/>
      <c r="AN27" s="88"/>
      <c r="AO27" s="156"/>
      <c r="AP27" s="149">
        <f>SUM(AP8:AP26)</f>
        <v>33.7</v>
      </c>
      <c r="AQ27" s="94">
        <f>SUM(AQ8:AQ26)</f>
        <v>20.02538</v>
      </c>
      <c r="AR27" s="89">
        <f>AR25</f>
        <v>59.42249258160236</v>
      </c>
      <c r="AS27" s="94">
        <f>SUM(AS8:AS26)</f>
        <v>124.7</v>
      </c>
      <c r="AT27" s="94">
        <f>SUM(AT8:AT26)</f>
        <v>69.11153999999999</v>
      </c>
      <c r="AU27" s="89">
        <f>(AT27/AS27)*100</f>
        <v>55.42224538893343</v>
      </c>
      <c r="AV27" s="149">
        <f>SUM(AV8:AV26)</f>
        <v>0</v>
      </c>
      <c r="AW27" s="94">
        <f>SUM(AW8:AW26)</f>
        <v>0</v>
      </c>
      <c r="AX27" s="89"/>
      <c r="AY27" s="149">
        <f>SUM(AY8:AY26)</f>
        <v>4815.88578</v>
      </c>
      <c r="AZ27" s="94">
        <f>SUM(AZ8:AZ26)</f>
        <v>2424.0459999999994</v>
      </c>
      <c r="BA27" s="89">
        <f t="shared" si="18"/>
        <v>50.33437483228681</v>
      </c>
      <c r="BB27" s="94">
        <f>SUM(BB8:BB26)</f>
        <v>5308.27587</v>
      </c>
      <c r="BC27" s="94">
        <f>SUM(BC8:BC26)</f>
        <v>1943.0784700000002</v>
      </c>
      <c r="BD27" s="89">
        <f t="shared" si="4"/>
        <v>36.604700237631015</v>
      </c>
      <c r="BE27" s="149"/>
      <c r="BF27" s="94"/>
      <c r="BG27" s="89"/>
      <c r="BH27" s="149">
        <f>SUM(BH8:BH26)</f>
        <v>974.9000000000001</v>
      </c>
      <c r="BI27" s="94">
        <f>SUM(BI8:BI26)</f>
        <v>429.15583</v>
      </c>
      <c r="BJ27" s="95">
        <f>(BI27/BH27)*100</f>
        <v>44.02049748692173</v>
      </c>
      <c r="BK27" s="149">
        <f>SUM(BK8:BK26)</f>
        <v>20</v>
      </c>
      <c r="BL27" s="149">
        <f>SUM(BL8:BL26)</f>
        <v>0</v>
      </c>
      <c r="BM27" s="95">
        <f>BL27/BK27*100</f>
        <v>0</v>
      </c>
      <c r="BN27" s="149">
        <f>SUM(BN8:BN26)</f>
        <v>16</v>
      </c>
      <c r="BO27" s="151">
        <f>SUM(BO8:BO26)</f>
        <v>16</v>
      </c>
      <c r="BP27" s="89">
        <f>BO27/BN27*100</f>
        <v>100</v>
      </c>
      <c r="BQ27" s="94">
        <f>SUM(BQ8:BQ26)</f>
        <v>2699.75682</v>
      </c>
      <c r="BR27" s="94">
        <f>SUM(BR8:BR26)</f>
        <v>525.20663</v>
      </c>
      <c r="BS27" s="663">
        <f t="shared" si="17"/>
        <v>19.45384955079028</v>
      </c>
      <c r="BT27" s="149"/>
      <c r="BU27" s="94"/>
      <c r="BV27" s="158"/>
      <c r="BW27" s="149">
        <f>SUM(BW8:BW26)</f>
        <v>0</v>
      </c>
      <c r="BX27" s="94">
        <f>SUM(BX8:BX26)</f>
        <v>0</v>
      </c>
      <c r="BY27" s="286" t="e">
        <f>(BX27/BW27)*100</f>
        <v>#DIV/0!</v>
      </c>
      <c r="BZ27" s="149">
        <f>SUM(BZ8:BZ26)</f>
        <v>58</v>
      </c>
      <c r="CA27" s="94">
        <f>SUM(CA8:CA26)</f>
        <v>0</v>
      </c>
      <c r="CB27" s="89">
        <f>(CA27/BZ27)*100</f>
        <v>0</v>
      </c>
      <c r="CC27" s="58"/>
      <c r="CD27" s="55"/>
      <c r="CE27" s="51"/>
      <c r="CF27" s="480">
        <f>SUM(CF8:CF26)</f>
        <v>111.335</v>
      </c>
      <c r="CG27" s="480">
        <f>SUM(CG8:CG26)</f>
        <v>55.6668</v>
      </c>
      <c r="CH27" s="105">
        <f>CG27/CF27*100</f>
        <v>49.99937126689721</v>
      </c>
      <c r="CI27" s="94">
        <f>SUM(CI8:CI26)</f>
        <v>22.4</v>
      </c>
      <c r="CJ27" s="94">
        <f>SUM(CJ8:CJ26)</f>
        <v>4.04056</v>
      </c>
      <c r="CK27" s="95">
        <f>(CJ27/CI27)*100</f>
        <v>18.03821428571429</v>
      </c>
      <c r="CL27" s="654"/>
      <c r="CM27" s="88"/>
      <c r="CN27" s="89"/>
      <c r="CO27" s="94">
        <f>CO10</f>
        <v>0</v>
      </c>
      <c r="CP27" s="94">
        <f>CP10</f>
        <v>0</v>
      </c>
      <c r="CQ27" s="646" t="e">
        <f>(CP27/CO27)*100</f>
        <v>#DIV/0!</v>
      </c>
      <c r="CR27" s="790"/>
      <c r="CS27" s="791"/>
      <c r="CT27" s="313"/>
      <c r="CU27" s="149">
        <f>SUM(CU8:CU26)</f>
        <v>4.8</v>
      </c>
      <c r="CV27" s="151">
        <f>SUM(CV8:CV26)</f>
        <v>0</v>
      </c>
      <c r="CW27" s="89">
        <f>CV27/CU27*100</f>
        <v>0</v>
      </c>
      <c r="CX27" s="94">
        <f>SUM(CX8:CX26)</f>
        <v>54.539</v>
      </c>
      <c r="CY27" s="151">
        <f>SUM(CY8:CY26)</f>
        <v>0</v>
      </c>
      <c r="CZ27" s="89">
        <f>CY27/CX27*100</f>
        <v>0</v>
      </c>
      <c r="DA27" s="92"/>
      <c r="DB27" s="55"/>
      <c r="DC27" s="51"/>
      <c r="DD27" s="149"/>
      <c r="DE27" s="151"/>
      <c r="DF27" s="89"/>
      <c r="DG27" s="94"/>
      <c r="DH27" s="151"/>
      <c r="DI27" s="89"/>
      <c r="DJ27" s="149">
        <f>SUM(DJ8:DJ26)</f>
        <v>199</v>
      </c>
      <c r="DK27" s="151">
        <f>SUM(DK8:DK26)</f>
        <v>199</v>
      </c>
      <c r="DL27" s="95">
        <f t="shared" si="8"/>
        <v>100</v>
      </c>
      <c r="DM27" s="149">
        <f>SUM(DM8:DM26)</f>
        <v>189.8</v>
      </c>
      <c r="DN27" s="151">
        <f>SUM(DN8:DN26)</f>
        <v>189.8</v>
      </c>
      <c r="DO27" s="95">
        <f>DN27/DM27*100</f>
        <v>100</v>
      </c>
      <c r="DP27" s="149">
        <f>SUM(DP8:DP26)</f>
        <v>158.3</v>
      </c>
      <c r="DQ27" s="94">
        <f>SUM(DQ8:DQ26)</f>
        <v>74.9</v>
      </c>
      <c r="DR27" s="95">
        <f>DQ27/DP27*100</f>
        <v>47.31522425773847</v>
      </c>
      <c r="DS27" s="58">
        <f>SUM(DS8:DS26)</f>
        <v>373.09762</v>
      </c>
      <c r="DT27" s="55">
        <f>SUM(DT8:DT26)</f>
        <v>373.09712</v>
      </c>
      <c r="DU27" s="51">
        <f>DT27/DS27*100</f>
        <v>99.999865986816</v>
      </c>
      <c r="DV27" s="58">
        <f>SUM(DV8:DV26)</f>
        <v>335.20000000000005</v>
      </c>
      <c r="DW27" s="55">
        <f>SUM(DW8:DW26)</f>
        <v>259.933</v>
      </c>
      <c r="DX27" s="51">
        <f t="shared" si="10"/>
        <v>77.5456443914081</v>
      </c>
      <c r="DY27" s="149">
        <f>SUM(DY8:DY26)</f>
        <v>50</v>
      </c>
      <c r="DZ27" s="149">
        <f>SUM(DZ8:DZ26)</f>
        <v>0</v>
      </c>
      <c r="EA27" s="89">
        <f>DZ27/DY27*100</f>
        <v>0</v>
      </c>
      <c r="EB27" s="94">
        <f>SUM(EB8:EB26)</f>
        <v>55</v>
      </c>
      <c r="EC27" s="151">
        <f>SUM(EC8:EC26)</f>
        <v>54.99898</v>
      </c>
      <c r="ED27" s="89">
        <f>EC27/EB27*100</f>
        <v>99.99814545454547</v>
      </c>
      <c r="EE27" s="94">
        <f>SUM(EE8:EE26)</f>
        <v>121.66</v>
      </c>
      <c r="EF27" s="151">
        <f>SUM(EF8:EF26)</f>
        <v>106.56</v>
      </c>
      <c r="EG27" s="89">
        <f t="shared" si="14"/>
        <v>87.58836100608252</v>
      </c>
      <c r="EH27" s="149">
        <f>SUM(EH8:EH26)</f>
        <v>50157.14159000001</v>
      </c>
      <c r="EI27" s="94">
        <f>SUM(EI8:EI26)</f>
        <v>20862.079999999998</v>
      </c>
      <c r="EJ27" s="89">
        <f t="shared" si="6"/>
        <v>41.593438817812014</v>
      </c>
      <c r="EK27" s="71"/>
      <c r="EL27" s="71"/>
    </row>
    <row r="28" spans="1:150" s="2" customFormat="1" ht="21" thickBot="1">
      <c r="A28" s="289"/>
      <c r="B28" s="289" t="s">
        <v>44</v>
      </c>
      <c r="C28" s="439">
        <v>2040.9</v>
      </c>
      <c r="D28" s="440">
        <v>938.06067</v>
      </c>
      <c r="E28" s="434">
        <f t="shared" si="0"/>
        <v>45.96308834337792</v>
      </c>
      <c r="F28" s="441">
        <v>86877.15153</v>
      </c>
      <c r="G28" s="442">
        <v>44426.38452</v>
      </c>
      <c r="H28" s="658">
        <f>(G28/F28)*100</f>
        <v>51.137017889748485</v>
      </c>
      <c r="I28" s="441">
        <v>181</v>
      </c>
      <c r="J28" s="442">
        <v>68.70862</v>
      </c>
      <c r="K28" s="658">
        <f>(J28/I28)*100</f>
        <v>37.960563535911604</v>
      </c>
      <c r="L28" s="481">
        <v>71126.565</v>
      </c>
      <c r="M28" s="491">
        <v>36090.84809</v>
      </c>
      <c r="N28" s="495">
        <f t="shared" si="15"/>
        <v>50.74172791839449</v>
      </c>
      <c r="O28" s="441">
        <v>35680.20197</v>
      </c>
      <c r="P28" s="442">
        <v>17321.36557</v>
      </c>
      <c r="Q28" s="434">
        <f>(P28/O28)*100</f>
        <v>48.546153366967616</v>
      </c>
      <c r="R28" s="444"/>
      <c r="S28" s="442"/>
      <c r="T28" s="434"/>
      <c r="U28" s="443">
        <v>4024.22806</v>
      </c>
      <c r="V28" s="311">
        <v>1852.13406</v>
      </c>
      <c r="W28" s="434">
        <f>V28/U28*100</f>
        <v>46.02457992900134</v>
      </c>
      <c r="X28" s="481">
        <v>126</v>
      </c>
      <c r="Y28" s="491">
        <v>53.27118</v>
      </c>
      <c r="Z28" s="434">
        <f t="shared" si="16"/>
        <v>42.27871428571429</v>
      </c>
      <c r="AA28" s="481">
        <v>1226.9</v>
      </c>
      <c r="AB28" s="484">
        <v>524.7806</v>
      </c>
      <c r="AC28" s="434">
        <f>(AB28/AA28)*100</f>
        <v>42.7728910261635</v>
      </c>
      <c r="AD28" s="481">
        <v>119.9</v>
      </c>
      <c r="AE28" s="484">
        <v>58.44435</v>
      </c>
      <c r="AF28" s="434">
        <f>(AE28/AD28)*100</f>
        <v>48.74424520433694</v>
      </c>
      <c r="AG28" s="481">
        <v>19803.69594</v>
      </c>
      <c r="AH28" s="444">
        <v>7576.52852</v>
      </c>
      <c r="AI28" s="435">
        <f>(AH28/AG28)*100</f>
        <v>38.25815414938147</v>
      </c>
      <c r="AJ28" s="713"/>
      <c r="AK28" s="714"/>
      <c r="AL28" s="52"/>
      <c r="AM28" s="484">
        <v>100.69662</v>
      </c>
      <c r="AN28" s="484">
        <v>50.90022</v>
      </c>
      <c r="AO28" s="434">
        <f>(AN28/AM28)*100</f>
        <v>50.54809188232932</v>
      </c>
      <c r="AP28" s="441">
        <v>451.66</v>
      </c>
      <c r="AQ28" s="444">
        <v>55.10923</v>
      </c>
      <c r="AR28" s="434">
        <f>(AQ28/AP28)*100</f>
        <v>12.201485630784218</v>
      </c>
      <c r="AS28" s="484">
        <v>911.4</v>
      </c>
      <c r="AT28" s="484">
        <v>614.53595</v>
      </c>
      <c r="AU28" s="434">
        <f>(AT28/AS28)*100</f>
        <v>67.427688172043</v>
      </c>
      <c r="AV28" s="481">
        <v>1946</v>
      </c>
      <c r="AW28" s="484">
        <v>950.38228</v>
      </c>
      <c r="AX28" s="434">
        <f>(AW28/AV28)*100</f>
        <v>48.83773278520041</v>
      </c>
      <c r="AY28" s="481">
        <v>591.3</v>
      </c>
      <c r="AZ28" s="484">
        <v>312.64032</v>
      </c>
      <c r="BA28" s="434">
        <f t="shared" si="18"/>
        <v>52.87338406900051</v>
      </c>
      <c r="BB28" s="485">
        <v>4181.53</v>
      </c>
      <c r="BC28" s="484">
        <v>2095.62805</v>
      </c>
      <c r="BD28" s="434">
        <f t="shared" si="4"/>
        <v>50.11629834055955</v>
      </c>
      <c r="BE28" s="481">
        <v>172</v>
      </c>
      <c r="BF28" s="484">
        <v>138.35792</v>
      </c>
      <c r="BG28" s="434">
        <f>(BF28/BE28)*100</f>
        <v>80.4406511627907</v>
      </c>
      <c r="BH28" s="483">
        <v>790.7</v>
      </c>
      <c r="BI28" s="484">
        <v>353.83619</v>
      </c>
      <c r="BJ28" s="435">
        <f>(BI28/BH28)*100</f>
        <v>44.749739471354495</v>
      </c>
      <c r="BK28" s="713"/>
      <c r="BL28" s="714"/>
      <c r="BM28" s="731"/>
      <c r="BN28" s="713"/>
      <c r="BO28" s="714"/>
      <c r="BP28" s="436"/>
      <c r="BQ28" s="720"/>
      <c r="BR28" s="444"/>
      <c r="BS28" s="659"/>
      <c r="BT28" s="482"/>
      <c r="BU28" s="444"/>
      <c r="BV28" s="725" t="e">
        <f>(BU28/BT28)*100</f>
        <v>#DIV/0!</v>
      </c>
      <c r="BW28" s="481"/>
      <c r="BX28" s="443"/>
      <c r="BY28" s="727" t="e">
        <f>(BX28/BW28)*100</f>
        <v>#DIV/0!</v>
      </c>
      <c r="BZ28" s="441">
        <v>7.7</v>
      </c>
      <c r="CA28" s="444"/>
      <c r="CB28" s="434">
        <f>(CA28/BZ28)*100</f>
        <v>0</v>
      </c>
      <c r="CC28" s="682"/>
      <c r="CD28" s="683"/>
      <c r="CE28" s="797" t="e">
        <f>CD28/CC28*100</f>
        <v>#DIV/0!</v>
      </c>
      <c r="CF28" s="441"/>
      <c r="CG28" s="442"/>
      <c r="CH28" s="52"/>
      <c r="CI28" s="484"/>
      <c r="CJ28" s="491"/>
      <c r="CK28" s="434"/>
      <c r="CL28" s="441">
        <f>SUM(CL8:CL26)</f>
        <v>0</v>
      </c>
      <c r="CM28" s="484">
        <f>SUM(CM8:CM26)</f>
        <v>0</v>
      </c>
      <c r="CN28" s="98" t="e">
        <f t="shared" si="12"/>
        <v>#DIV/0!</v>
      </c>
      <c r="CO28" s="653"/>
      <c r="CP28" s="442"/>
      <c r="CQ28" s="434" t="e">
        <f>(CP28/CO28)*100</f>
        <v>#DIV/0!</v>
      </c>
      <c r="CR28" s="441">
        <v>65.3</v>
      </c>
      <c r="CS28" s="442">
        <v>65.3</v>
      </c>
      <c r="CT28" s="435">
        <f>CS28/CR28*100</f>
        <v>100</v>
      </c>
      <c r="CU28" s="745"/>
      <c r="CV28" s="746"/>
      <c r="CW28" s="747"/>
      <c r="CX28" s="751">
        <v>200</v>
      </c>
      <c r="CY28" s="746"/>
      <c r="CZ28" s="52">
        <f>CY28/CX28*100</f>
        <v>0</v>
      </c>
      <c r="DA28" s="92">
        <f>SUM(DA9:DA27)</f>
        <v>50</v>
      </c>
      <c r="DB28" s="55">
        <f>SUM(DB9:DB27)</f>
        <v>50</v>
      </c>
      <c r="DC28" s="51">
        <f>DB28/DA28*100</f>
        <v>100</v>
      </c>
      <c r="DD28" s="185">
        <f>SUM(DD8:DD26)</f>
        <v>75</v>
      </c>
      <c r="DE28" s="196">
        <f>SUM(DE8:DE26)</f>
        <v>20</v>
      </c>
      <c r="DF28" s="80">
        <f>DE28/DD28*100</f>
        <v>26.666666666666668</v>
      </c>
      <c r="DG28" s="444">
        <f>SUM(DG8:DG26)</f>
        <v>18950.3</v>
      </c>
      <c r="DH28" s="442">
        <f>SUM(DH8:DH26)</f>
        <v>9280.402</v>
      </c>
      <c r="DI28" s="98">
        <f t="shared" si="13"/>
        <v>48.97232233790494</v>
      </c>
      <c r="DJ28" s="441"/>
      <c r="DK28" s="442"/>
      <c r="DL28" s="115"/>
      <c r="DM28" s="145"/>
      <c r="DN28" s="144"/>
      <c r="DO28" s="115"/>
      <c r="DP28" s="185"/>
      <c r="DQ28" s="196"/>
      <c r="DR28" s="424"/>
      <c r="DS28" s="185"/>
      <c r="DT28" s="196"/>
      <c r="DU28" s="424"/>
      <c r="DV28" s="185"/>
      <c r="DW28" s="196"/>
      <c r="DX28" s="424"/>
      <c r="DY28" s="185"/>
      <c r="DZ28" s="196"/>
      <c r="EA28" s="80"/>
      <c r="EB28" s="638"/>
      <c r="EC28" s="196"/>
      <c r="ED28" s="80"/>
      <c r="EE28" s="660"/>
      <c r="EF28" s="661"/>
      <c r="EG28" s="75"/>
      <c r="EH28" s="481">
        <f>C28+F28+I28+L28+O28+U28+X28+AA28+AD28+AG28+AM28+AP28+AS28+AV28+AY28+BB28+BE28+BH28+BT28+BW28+BZ28+CO28+DG28+CR28+CI28+CL28+CC28+DA28+DD28+CX28</f>
        <v>249700.12911999997</v>
      </c>
      <c r="EI28" s="484">
        <f>D28+G28+J28+M28+P28+V28+Y28+AB28+AE28+AH28+AN28+AQ28+AT28+AW28+AZ28+BC28+BF28+BI28+BU28+BX28+CA28+CP28+DH28+CJ28+CM28+CS28+CD28+DB28+DE28</f>
        <v>122897.61834</v>
      </c>
      <c r="EJ28" s="434">
        <f t="shared" si="6"/>
        <v>49.2180836161836</v>
      </c>
      <c r="EK28" s="437"/>
      <c r="EL28" s="438"/>
      <c r="EM28" s="438"/>
      <c r="EN28" s="438"/>
      <c r="EO28" s="438"/>
      <c r="EP28" s="438"/>
      <c r="EQ28" s="438"/>
      <c r="ER28" s="438"/>
      <c r="ES28" s="438"/>
      <c r="ET28" s="438"/>
    </row>
    <row r="29" spans="1:142" s="258" customFormat="1" ht="21" thickBot="1">
      <c r="A29" s="255"/>
      <c r="B29" s="256" t="s">
        <v>165</v>
      </c>
      <c r="C29" s="450">
        <f>SUM(C27:C28)</f>
        <v>14638.191120000001</v>
      </c>
      <c r="D29" s="455">
        <f>SUM(D27:D28)</f>
        <v>6176.0506</v>
      </c>
      <c r="E29" s="451">
        <f t="shared" si="0"/>
        <v>42.1913510308096</v>
      </c>
      <c r="F29" s="452">
        <f>SUM(F27:F28)</f>
        <v>86877.15153</v>
      </c>
      <c r="G29" s="401">
        <f>SUM(G27:G28)</f>
        <v>44426.38452</v>
      </c>
      <c r="H29" s="451">
        <f>(G29/F29)*100</f>
        <v>51.137017889748485</v>
      </c>
      <c r="I29" s="452">
        <f>SUM(I27:I28)</f>
        <v>181</v>
      </c>
      <c r="J29" s="467">
        <f>SUM(J27:J28)</f>
        <v>68.70862</v>
      </c>
      <c r="K29" s="453">
        <f>(J29/I29)*100</f>
        <v>37.960563535911604</v>
      </c>
      <c r="L29" s="452">
        <f>SUM(L27:L28)</f>
        <v>91598.78238</v>
      </c>
      <c r="M29" s="401">
        <f>SUM(M27:M28)</f>
        <v>44497.76708</v>
      </c>
      <c r="N29" s="494">
        <f t="shared" si="15"/>
        <v>48.578994091209445</v>
      </c>
      <c r="O29" s="454">
        <f>SUM(O27:O28)</f>
        <v>35680.20197</v>
      </c>
      <c r="P29" s="448">
        <f>SUM(P27:P28)</f>
        <v>17321.36557</v>
      </c>
      <c r="Q29" s="455">
        <f>(P29/O29)*100</f>
        <v>48.546153366967616</v>
      </c>
      <c r="R29" s="456">
        <f>SUM(R27:R28)</f>
        <v>919.1950000000002</v>
      </c>
      <c r="S29" s="300">
        <f>SUM(S27:S28)</f>
        <v>370.00462</v>
      </c>
      <c r="T29" s="457">
        <f>(S29/R29)*100</f>
        <v>40.253114953845476</v>
      </c>
      <c r="U29" s="477">
        <f>SUM(U27:U28)</f>
        <v>4024.22806</v>
      </c>
      <c r="V29" s="401">
        <f>SUM(V27:V28)</f>
        <v>1852.13406</v>
      </c>
      <c r="W29" s="451">
        <f>(V29/U29)*100</f>
        <v>46.02457992900134</v>
      </c>
      <c r="X29" s="452">
        <f>SUM(X27:X28)</f>
        <v>408.2</v>
      </c>
      <c r="Y29" s="401">
        <f>SUM(Y27:Y28)</f>
        <v>125.83078</v>
      </c>
      <c r="Z29" s="451">
        <f t="shared" si="16"/>
        <v>30.82576678098971</v>
      </c>
      <c r="AA29" s="452">
        <f>SUM(AA27:AA28)</f>
        <v>1226.9</v>
      </c>
      <c r="AB29" s="402">
        <f>SUM(AB27:AB28)</f>
        <v>524.7806</v>
      </c>
      <c r="AC29" s="451">
        <f>(AB29/AA29)*100</f>
        <v>42.7728910261635</v>
      </c>
      <c r="AD29" s="452">
        <f>SUM(AD27:AD28)</f>
        <v>119.9</v>
      </c>
      <c r="AE29" s="402">
        <f>SUM(AE27:AE28)</f>
        <v>58.44435</v>
      </c>
      <c r="AF29" s="451">
        <f>(AE29/AD29)*100</f>
        <v>48.74424520433694</v>
      </c>
      <c r="AG29" s="452">
        <f>SUM(AG27:AG28)</f>
        <v>19803.69594</v>
      </c>
      <c r="AH29" s="402">
        <f>SUM(AH27:AH28)</f>
        <v>7576.52852</v>
      </c>
      <c r="AI29" s="455">
        <f>(AH29/AG29)*100</f>
        <v>38.25815414938147</v>
      </c>
      <c r="AJ29" s="715">
        <f>AJ27+AJ28</f>
        <v>159.888</v>
      </c>
      <c r="AK29" s="716">
        <f>AK27+AK28</f>
        <v>29.986549999999994</v>
      </c>
      <c r="AL29" s="191">
        <f>AK29/AJ29*100</f>
        <v>18.7547220554388</v>
      </c>
      <c r="AM29" s="402">
        <f>SUM(AM27:AM28)</f>
        <v>100.69662</v>
      </c>
      <c r="AN29" s="402">
        <f>SUM(AN27:AN28)</f>
        <v>50.90022</v>
      </c>
      <c r="AO29" s="458">
        <f>(AN29/AM29)*100</f>
        <v>50.54809188232932</v>
      </c>
      <c r="AP29" s="452">
        <f>SUM(AP27:AP28)</f>
        <v>485.36</v>
      </c>
      <c r="AQ29" s="402">
        <f>SUM(AQ27:AQ28)</f>
        <v>75.13461</v>
      </c>
      <c r="AR29" s="451">
        <f>(AQ29/AP29)*100</f>
        <v>15.480181720784572</v>
      </c>
      <c r="AS29" s="452">
        <f>SUM(AS27:AS28)</f>
        <v>1036.1</v>
      </c>
      <c r="AT29" s="402">
        <f>SUM(AT27:AT28)</f>
        <v>683.64749</v>
      </c>
      <c r="AU29" s="403">
        <f>(AT29/AS29)*100</f>
        <v>65.98277096805327</v>
      </c>
      <c r="AV29" s="452">
        <f>SUM(AV27:AV28)</f>
        <v>1946</v>
      </c>
      <c r="AW29" s="402">
        <f>SUM(AW27:AW28)</f>
        <v>950.38228</v>
      </c>
      <c r="AX29" s="403">
        <f>(AW29/AV29)*100</f>
        <v>48.83773278520041</v>
      </c>
      <c r="AY29" s="452">
        <f>SUM(AY27:AY28)</f>
        <v>5407.18578</v>
      </c>
      <c r="AZ29" s="402">
        <f>SUM(AZ27:AZ28)</f>
        <v>2736.6863199999993</v>
      </c>
      <c r="BA29" s="451">
        <f t="shared" si="18"/>
        <v>50.61202687213753</v>
      </c>
      <c r="BB29" s="459">
        <f>SUM(BB27:BB28)</f>
        <v>9489.80587</v>
      </c>
      <c r="BC29" s="449">
        <f>SUM(BC27:BC28)</f>
        <v>4038.7065199999997</v>
      </c>
      <c r="BD29" s="403">
        <f t="shared" si="4"/>
        <v>42.55836816185577</v>
      </c>
      <c r="BE29" s="452">
        <f>SUM(BE27:BE28)</f>
        <v>172</v>
      </c>
      <c r="BF29" s="402">
        <f>SUM(BF27:BF28)</f>
        <v>138.35792</v>
      </c>
      <c r="BG29" s="403">
        <f>(BF29/BE29)*100</f>
        <v>80.4406511627907</v>
      </c>
      <c r="BH29" s="452">
        <f>SUM(BH27:BH28)</f>
        <v>1765.6000000000001</v>
      </c>
      <c r="BI29" s="402">
        <f>SUM(BI27:BI28)</f>
        <v>782.9920199999999</v>
      </c>
      <c r="BJ29" s="718">
        <f>(BI29/BH29)*100</f>
        <v>44.34707861350248</v>
      </c>
      <c r="BK29" s="452">
        <f>BK27+BK28</f>
        <v>20</v>
      </c>
      <c r="BL29" s="401">
        <f>BL27+BL28</f>
        <v>0</v>
      </c>
      <c r="BM29" s="718">
        <f>BL29/BK29*100</f>
        <v>0</v>
      </c>
      <c r="BN29" s="452">
        <f>BN28+BN27</f>
        <v>16</v>
      </c>
      <c r="BO29" s="401">
        <f>BO28+BO27</f>
        <v>16</v>
      </c>
      <c r="BP29" s="403">
        <f>BO29/BN29*100</f>
        <v>100</v>
      </c>
      <c r="BQ29" s="402">
        <f>SUM(BQ27:BQ28)</f>
        <v>2699.75682</v>
      </c>
      <c r="BR29" s="402">
        <f>SUM(BR27:BR28)</f>
        <v>525.20663</v>
      </c>
      <c r="BS29" s="403">
        <f>BR29/BQ29*100</f>
        <v>19.45384955079028</v>
      </c>
      <c r="BT29" s="454">
        <f>SUM(BT27:BT28)</f>
        <v>0</v>
      </c>
      <c r="BU29" s="402">
        <f>SUM(BU27:BU28)</f>
        <v>0</v>
      </c>
      <c r="BV29" s="726" t="e">
        <f>(BU29/BT29)*100</f>
        <v>#DIV/0!</v>
      </c>
      <c r="BW29" s="452">
        <f>SUM(BW27:BW28)</f>
        <v>0</v>
      </c>
      <c r="BX29" s="402">
        <f>SUM(BX27:BX28)</f>
        <v>0</v>
      </c>
      <c r="BY29" s="451" t="e">
        <f>(BX29/BW29)*100</f>
        <v>#DIV/0!</v>
      </c>
      <c r="BZ29" s="452">
        <f>SUM(BZ27:BZ28)</f>
        <v>65.7</v>
      </c>
      <c r="CA29" s="445">
        <f>SUM(CA27:CA28)</f>
        <v>0</v>
      </c>
      <c r="CB29" s="684">
        <f>(CA29/BZ29)*100</f>
        <v>0</v>
      </c>
      <c r="CC29" s="398">
        <f>CC28</f>
        <v>0</v>
      </c>
      <c r="CD29" s="400">
        <v>0</v>
      </c>
      <c r="CE29" s="656">
        <v>0</v>
      </c>
      <c r="CF29" s="398">
        <f>SUM(CF27:CF28)</f>
        <v>111.335</v>
      </c>
      <c r="CG29" s="398">
        <f>SUM(CG27:CG28)</f>
        <v>55.6668</v>
      </c>
      <c r="CH29" s="105">
        <f>CG29/CF29*100</f>
        <v>49.99937126689721</v>
      </c>
      <c r="CI29" s="402">
        <f>SUM(CI27:CI28)</f>
        <v>22.4</v>
      </c>
      <c r="CJ29" s="445">
        <f>SUM(CJ27:CJ28)</f>
        <v>4.04056</v>
      </c>
      <c r="CK29" s="656">
        <f>(CJ29/CI29)*100</f>
        <v>18.03821428571429</v>
      </c>
      <c r="CL29" s="452">
        <f>SUM(CL27:CL28)</f>
        <v>0</v>
      </c>
      <c r="CM29" s="445">
        <f>SUM(CM27:CM28)</f>
        <v>0</v>
      </c>
      <c r="CN29" s="105" t="e">
        <f t="shared" si="12"/>
        <v>#DIV/0!</v>
      </c>
      <c r="CO29" s="399">
        <f>SUM(CO27:CO28)</f>
        <v>0</v>
      </c>
      <c r="CP29" s="402">
        <f>SUM(CP27:CP28)</f>
        <v>0</v>
      </c>
      <c r="CQ29" s="257" t="e">
        <f>(CP29/CO29)*100</f>
        <v>#DIV/0!</v>
      </c>
      <c r="CR29" s="398">
        <f>CR28</f>
        <v>65.3</v>
      </c>
      <c r="CS29" s="400"/>
      <c r="CT29" s="731">
        <f>CS29/CR29*100</f>
        <v>0</v>
      </c>
      <c r="CU29" s="748">
        <f>CU27</f>
        <v>4.8</v>
      </c>
      <c r="CV29" s="749">
        <f>CV27</f>
        <v>0</v>
      </c>
      <c r="CW29" s="750">
        <f>CW27</f>
        <v>0</v>
      </c>
      <c r="CX29" s="752">
        <f>CX27+CX28</f>
        <v>254.539</v>
      </c>
      <c r="CY29" s="749">
        <f>CY27</f>
        <v>0</v>
      </c>
      <c r="CZ29" s="750">
        <f>CZ27</f>
        <v>0</v>
      </c>
      <c r="DA29" s="744">
        <f>DA27+DA28</f>
        <v>50</v>
      </c>
      <c r="DB29" s="732">
        <f>DB27+DB28</f>
        <v>50</v>
      </c>
      <c r="DC29" s="755">
        <f>DB29/DA29*100</f>
        <v>100</v>
      </c>
      <c r="DD29" s="757">
        <f>DD28</f>
        <v>75</v>
      </c>
      <c r="DE29" s="732">
        <f>DE28</f>
        <v>20</v>
      </c>
      <c r="DF29" s="458">
        <f>DE29/DD29*100</f>
        <v>26.666666666666668</v>
      </c>
      <c r="DG29" s="399">
        <f>DG28</f>
        <v>18950.3</v>
      </c>
      <c r="DH29" s="400">
        <f>DH28</f>
        <v>9280.402</v>
      </c>
      <c r="DI29" s="105">
        <f t="shared" si="13"/>
        <v>48.97232233790494</v>
      </c>
      <c r="DJ29" s="398">
        <f>DJ27</f>
        <v>199</v>
      </c>
      <c r="DK29" s="400">
        <f>DK27</f>
        <v>199</v>
      </c>
      <c r="DL29" s="294">
        <f t="shared" si="8"/>
        <v>100</v>
      </c>
      <c r="DM29" s="480">
        <f>DM27</f>
        <v>189.8</v>
      </c>
      <c r="DN29" s="651">
        <f>DN27</f>
        <v>189.8</v>
      </c>
      <c r="DO29" s="294">
        <f>DO27</f>
        <v>100</v>
      </c>
      <c r="DP29" s="480">
        <f>DP27</f>
        <v>158.3</v>
      </c>
      <c r="DQ29" s="651">
        <f>DQ27</f>
        <v>74.9</v>
      </c>
      <c r="DR29" s="105">
        <f>DQ29/DP29*100</f>
        <v>47.31522425773847</v>
      </c>
      <c r="DS29" s="480">
        <f>DS27</f>
        <v>373.09762</v>
      </c>
      <c r="DT29" s="651">
        <f>DT27</f>
        <v>373.09712</v>
      </c>
      <c r="DU29" s="294">
        <f>DU27</f>
        <v>99.999865986816</v>
      </c>
      <c r="DV29" s="480">
        <f>DV27</f>
        <v>335.20000000000005</v>
      </c>
      <c r="DW29" s="651">
        <f>DW27</f>
        <v>259.933</v>
      </c>
      <c r="DX29" s="294">
        <f t="shared" si="10"/>
        <v>77.5456443914081</v>
      </c>
      <c r="DY29" s="480">
        <f>DY28+DY27</f>
        <v>50</v>
      </c>
      <c r="DZ29" s="651">
        <f>DZ28+DZ27</f>
        <v>0</v>
      </c>
      <c r="EA29" s="105">
        <f>DZ29/DY29*100</f>
        <v>0</v>
      </c>
      <c r="EB29" s="739">
        <f>EB27</f>
        <v>55</v>
      </c>
      <c r="EC29" s="651">
        <f>EC27</f>
        <v>54.99898</v>
      </c>
      <c r="ED29" s="105">
        <f>ED27</f>
        <v>99.99814545454547</v>
      </c>
      <c r="EE29" s="399">
        <f>EE27</f>
        <v>121.66</v>
      </c>
      <c r="EF29" s="400">
        <f>EF27</f>
        <v>106.56</v>
      </c>
      <c r="EG29" s="105">
        <f t="shared" si="14"/>
        <v>87.58836100608252</v>
      </c>
      <c r="EH29" s="934">
        <f>SUM(EH27:EH28)</f>
        <v>299857.27070999995</v>
      </c>
      <c r="EI29" s="935">
        <f>SUM(EI27:EI28)</f>
        <v>143759.69834</v>
      </c>
      <c r="EJ29" s="487">
        <f t="shared" si="6"/>
        <v>47.942708875995166</v>
      </c>
      <c r="EK29" s="310"/>
      <c r="EL29" s="310"/>
    </row>
    <row r="30" spans="2:151" ht="20.25">
      <c r="B30" s="124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314"/>
      <c r="EI30" s="429"/>
      <c r="EJ30" s="258"/>
      <c r="EK30" s="258"/>
      <c r="EL30" s="258"/>
      <c r="EM30" s="258"/>
      <c r="EN30" s="258"/>
      <c r="EO30" s="258"/>
      <c r="EP30" s="2"/>
      <c r="EQ30" s="2"/>
      <c r="ER30" s="2"/>
      <c r="ES30" s="2"/>
      <c r="ET30" s="2"/>
      <c r="EU30" s="2"/>
    </row>
    <row r="31" spans="2:141" ht="20.25">
      <c r="B31" s="186"/>
      <c r="C31" s="2"/>
      <c r="F31" s="288"/>
      <c r="G31" s="272"/>
      <c r="I31" s="187"/>
      <c r="J31" s="187"/>
      <c r="K31" s="187"/>
      <c r="L31" s="187"/>
      <c r="U31" s="2"/>
      <c r="X31" s="2"/>
      <c r="AG31" s="2"/>
      <c r="AZ31" s="272"/>
      <c r="CO31" s="176"/>
      <c r="CP31" s="187"/>
      <c r="CQ31" s="188"/>
      <c r="EH31" s="315"/>
      <c r="EI31" s="315"/>
      <c r="EK31" s="288"/>
    </row>
    <row r="32" spans="2:139" ht="20.25">
      <c r="B32" s="186"/>
      <c r="D32" s="446"/>
      <c r="F32" s="466"/>
      <c r="I32" s="187"/>
      <c r="J32" s="447"/>
      <c r="K32" s="187"/>
      <c r="L32" s="187"/>
      <c r="P32" s="446"/>
      <c r="BC32" s="446"/>
      <c r="BZ32" s="272"/>
      <c r="CO32" s="176"/>
      <c r="CP32" s="187"/>
      <c r="CQ32" s="188"/>
      <c r="EH32" s="187"/>
      <c r="EI32" s="272"/>
    </row>
    <row r="33" spans="2:139" ht="20.25">
      <c r="B33" s="186"/>
      <c r="I33" s="187"/>
      <c r="J33" s="71"/>
      <c r="K33" s="187"/>
      <c r="L33" s="187"/>
      <c r="CO33" s="176"/>
      <c r="CP33" s="187"/>
      <c r="CQ33" s="188"/>
      <c r="EH33" s="187"/>
      <c r="EI33" s="272"/>
    </row>
    <row r="34" spans="2:139" ht="20.25">
      <c r="B34" s="186"/>
      <c r="I34" s="187"/>
      <c r="J34" s="71"/>
      <c r="K34" s="187"/>
      <c r="L34" s="187"/>
      <c r="CO34" s="176"/>
      <c r="CP34" s="187"/>
      <c r="CQ34" s="188"/>
      <c r="EH34" s="187"/>
      <c r="EI34" s="272"/>
    </row>
    <row r="35" spans="2:95" ht="20.25">
      <c r="B35" s="186"/>
      <c r="I35" s="187"/>
      <c r="J35" s="71"/>
      <c r="K35" s="187"/>
      <c r="L35" s="187"/>
      <c r="CO35" s="176"/>
      <c r="CP35" s="187"/>
      <c r="CQ35" s="188"/>
    </row>
    <row r="36" spans="2:95" ht="20.25">
      <c r="B36" s="186"/>
      <c r="I36" s="187"/>
      <c r="J36" s="71"/>
      <c r="K36" s="187"/>
      <c r="L36" s="187"/>
      <c r="CO36" s="176"/>
      <c r="CP36" s="187"/>
      <c r="CQ36" s="188"/>
    </row>
    <row r="37" spans="2:95" ht="20.25">
      <c r="B37" s="186"/>
      <c r="I37" s="187"/>
      <c r="J37" s="71"/>
      <c r="K37" s="187"/>
      <c r="L37" s="187"/>
      <c r="CO37" s="176"/>
      <c r="CP37" s="187"/>
      <c r="CQ37" s="188"/>
    </row>
    <row r="38" spans="2:95" ht="20.25">
      <c r="B38" s="186"/>
      <c r="I38" s="187"/>
      <c r="J38" s="71"/>
      <c r="K38" s="187"/>
      <c r="L38" s="187"/>
      <c r="CO38" s="176"/>
      <c r="CP38" s="187"/>
      <c r="CQ38" s="188"/>
    </row>
    <row r="39" spans="2:95" ht="20.25">
      <c r="B39" s="186"/>
      <c r="I39" s="187"/>
      <c r="J39" s="71"/>
      <c r="K39" s="187"/>
      <c r="L39" s="187"/>
      <c r="CO39" s="176"/>
      <c r="CP39" s="187"/>
      <c r="CQ39" s="188"/>
    </row>
    <row r="40" spans="2:95" ht="20.25">
      <c r="B40" s="186"/>
      <c r="I40" s="187"/>
      <c r="J40" s="71"/>
      <c r="K40" s="187"/>
      <c r="L40" s="187"/>
      <c r="CO40" s="176"/>
      <c r="CP40" s="187"/>
      <c r="CQ40" s="188"/>
    </row>
    <row r="41" spans="2:95" ht="20.25">
      <c r="B41" s="186"/>
      <c r="I41" s="187"/>
      <c r="J41" s="71"/>
      <c r="K41" s="187"/>
      <c r="L41" s="187"/>
      <c r="CO41" s="176"/>
      <c r="CP41" s="187"/>
      <c r="CQ41" s="188"/>
    </row>
    <row r="42" spans="2:95" ht="20.25">
      <c r="B42" s="186"/>
      <c r="I42" s="187"/>
      <c r="J42" s="71"/>
      <c r="K42" s="187"/>
      <c r="L42" s="187"/>
      <c r="CO42" s="176"/>
      <c r="CP42" s="187"/>
      <c r="CQ42" s="188"/>
    </row>
    <row r="43" spans="2:95" ht="20.25">
      <c r="B43" s="186"/>
      <c r="I43" s="187"/>
      <c r="J43" s="71"/>
      <c r="K43" s="187"/>
      <c r="L43" s="187"/>
      <c r="CO43" s="176"/>
      <c r="CP43" s="187"/>
      <c r="CQ43" s="188"/>
    </row>
    <row r="44" spans="2:95" ht="20.25">
      <c r="B44" s="186"/>
      <c r="I44" s="187"/>
      <c r="J44" s="71"/>
      <c r="K44" s="187"/>
      <c r="L44" s="187"/>
      <c r="CO44" s="176"/>
      <c r="CP44" s="187"/>
      <c r="CQ44" s="188"/>
    </row>
    <row r="45" spans="2:95" ht="20.25">
      <c r="B45" s="186"/>
      <c r="I45" s="187"/>
      <c r="J45" s="71"/>
      <c r="K45" s="187"/>
      <c r="L45" s="187"/>
      <c r="CO45" s="176"/>
      <c r="CP45" s="187"/>
      <c r="CQ45" s="188"/>
    </row>
    <row r="46" spans="2:95" ht="20.25">
      <c r="B46" s="186"/>
      <c r="I46" s="187"/>
      <c r="J46" s="176"/>
      <c r="K46" s="187"/>
      <c r="L46" s="187"/>
      <c r="CO46" s="176"/>
      <c r="CP46" s="187"/>
      <c r="CQ46" s="188"/>
    </row>
    <row r="47" spans="2:95" ht="20.25">
      <c r="B47" s="186"/>
      <c r="I47" s="187"/>
      <c r="J47" s="71"/>
      <c r="K47" s="187"/>
      <c r="L47" s="187"/>
      <c r="CO47" s="176"/>
      <c r="CP47" s="187"/>
      <c r="CQ47" s="188"/>
    </row>
    <row r="48" spans="2:95" ht="20.25">
      <c r="B48" s="186"/>
      <c r="I48" s="187"/>
      <c r="J48" s="71"/>
      <c r="K48" s="187"/>
      <c r="L48" s="187"/>
      <c r="CO48" s="176"/>
      <c r="CP48" s="187"/>
      <c r="CQ48" s="188"/>
    </row>
    <row r="49" spans="2:95" ht="20.25">
      <c r="B49" s="186"/>
      <c r="I49" s="187"/>
      <c r="J49" s="176"/>
      <c r="K49" s="187"/>
      <c r="L49" s="187"/>
      <c r="CO49" s="176"/>
      <c r="CP49" s="187"/>
      <c r="CQ49" s="188"/>
    </row>
    <row r="50" spans="2:95" ht="20.25">
      <c r="B50" s="186"/>
      <c r="I50" s="187"/>
      <c r="J50" s="71"/>
      <c r="K50" s="187"/>
      <c r="L50" s="187"/>
      <c r="CO50" s="176"/>
      <c r="CP50" s="187"/>
      <c r="CQ50" s="188"/>
    </row>
    <row r="51" spans="2:95" ht="20.25">
      <c r="B51" s="186"/>
      <c r="I51" s="187"/>
      <c r="J51" s="71"/>
      <c r="K51" s="187"/>
      <c r="L51" s="187"/>
      <c r="CO51" s="180"/>
      <c r="CP51" s="176"/>
      <c r="CQ51" s="187"/>
    </row>
    <row r="52" spans="2:95" ht="20.25">
      <c r="B52" s="186"/>
      <c r="I52" s="187"/>
      <c r="J52" s="187"/>
      <c r="K52" s="187"/>
      <c r="L52" s="187"/>
      <c r="CO52" s="187"/>
      <c r="CP52" s="187"/>
      <c r="CQ52" s="187"/>
    </row>
    <row r="53" spans="2:95" ht="20.25">
      <c r="B53" s="186"/>
      <c r="I53" s="187"/>
      <c r="J53" s="187"/>
      <c r="K53" s="187"/>
      <c r="L53" s="187"/>
      <c r="CO53" s="187"/>
      <c r="CP53" s="187"/>
      <c r="CQ53" s="187"/>
    </row>
    <row r="54" spans="2:95" ht="20.25">
      <c r="B54" s="186"/>
      <c r="I54" s="187"/>
      <c r="J54" s="187"/>
      <c r="K54" s="187"/>
      <c r="L54" s="187"/>
      <c r="CO54" s="187"/>
      <c r="CP54" s="187"/>
      <c r="CQ54" s="187"/>
    </row>
    <row r="55" spans="2:95" ht="20.25">
      <c r="B55" s="186"/>
      <c r="I55" s="187"/>
      <c r="J55" s="187"/>
      <c r="K55" s="187"/>
      <c r="L55" s="187"/>
      <c r="CO55" s="187"/>
      <c r="CP55" s="187"/>
      <c r="CQ55" s="187"/>
    </row>
    <row r="56" spans="2:12" ht="20.25">
      <c r="B56" s="186"/>
      <c r="I56" s="187"/>
      <c r="J56" s="187"/>
      <c r="K56" s="187"/>
      <c r="L56" s="187"/>
    </row>
    <row r="57" spans="2:12" ht="20.25">
      <c r="B57" s="186"/>
      <c r="I57" s="187"/>
      <c r="J57" s="187"/>
      <c r="K57" s="187"/>
      <c r="L57" s="187"/>
    </row>
    <row r="58" spans="2:12" ht="20.25">
      <c r="B58" s="186"/>
      <c r="I58" s="187"/>
      <c r="J58" s="187"/>
      <c r="K58" s="187"/>
      <c r="L58" s="187"/>
    </row>
    <row r="59" spans="2:12" ht="20.25">
      <c r="B59" s="186"/>
      <c r="I59" s="187"/>
      <c r="J59" s="187"/>
      <c r="K59" s="187"/>
      <c r="L59" s="187"/>
    </row>
    <row r="60" spans="2:12" ht="20.25">
      <c r="B60" s="186"/>
      <c r="I60" s="187"/>
      <c r="J60" s="187"/>
      <c r="K60" s="187"/>
      <c r="L60" s="187"/>
    </row>
    <row r="61" spans="2:12" ht="20.25">
      <c r="B61" s="186"/>
      <c r="I61" s="187"/>
      <c r="J61" s="187"/>
      <c r="K61" s="187"/>
      <c r="L61" s="187"/>
    </row>
    <row r="62" spans="2:12" ht="20.25">
      <c r="B62" s="186"/>
      <c r="I62" s="187"/>
      <c r="J62" s="187"/>
      <c r="K62" s="187"/>
      <c r="L62" s="187"/>
    </row>
    <row r="63" spans="2:12" ht="20.25">
      <c r="B63" s="186"/>
      <c r="I63" s="187"/>
      <c r="J63" s="187"/>
      <c r="K63" s="187"/>
      <c r="L63" s="187"/>
    </row>
    <row r="64" spans="2:12" ht="20.25">
      <c r="B64" s="186"/>
      <c r="I64" s="187"/>
      <c r="J64" s="187"/>
      <c r="K64" s="187"/>
      <c r="L64" s="187"/>
    </row>
    <row r="65" spans="2:12" ht="20.25">
      <c r="B65" s="186"/>
      <c r="I65" s="187"/>
      <c r="J65" s="187"/>
      <c r="K65" s="187"/>
      <c r="L65" s="187"/>
    </row>
    <row r="66" spans="2:12" ht="20.25">
      <c r="B66" s="186"/>
      <c r="I66" s="187"/>
      <c r="J66" s="187"/>
      <c r="K66" s="187"/>
      <c r="L66" s="187"/>
    </row>
    <row r="67" spans="2:12" ht="20.25">
      <c r="B67" s="186"/>
      <c r="I67" s="187"/>
      <c r="J67" s="187"/>
      <c r="K67" s="187"/>
      <c r="L67" s="187"/>
    </row>
    <row r="68" spans="2:12" ht="20.25">
      <c r="B68" s="186"/>
      <c r="I68" s="187"/>
      <c r="J68" s="187"/>
      <c r="K68" s="187"/>
      <c r="L68" s="187"/>
    </row>
    <row r="69" spans="2:12" ht="20.25">
      <c r="B69" s="186"/>
      <c r="I69" s="187"/>
      <c r="J69" s="187"/>
      <c r="K69" s="187"/>
      <c r="L69" s="187"/>
    </row>
    <row r="70" spans="2:12" ht="20.25">
      <c r="B70" s="186"/>
      <c r="I70" s="187"/>
      <c r="J70" s="187"/>
      <c r="K70" s="187"/>
      <c r="L70" s="187"/>
    </row>
    <row r="71" spans="2:12" ht="20.25">
      <c r="B71" s="186"/>
      <c r="I71" s="187"/>
      <c r="J71" s="187"/>
      <c r="K71" s="187"/>
      <c r="L71" s="187"/>
    </row>
    <row r="72" spans="2:12" ht="20.25">
      <c r="B72" s="186"/>
      <c r="I72" s="187"/>
      <c r="J72" s="187"/>
      <c r="K72" s="187"/>
      <c r="L72" s="187"/>
    </row>
    <row r="73" spans="2:12" ht="20.25">
      <c r="B73" s="186"/>
      <c r="I73" s="187"/>
      <c r="J73" s="187"/>
      <c r="K73" s="187"/>
      <c r="L73" s="187"/>
    </row>
    <row r="74" spans="2:12" ht="20.25">
      <c r="B74" s="186"/>
      <c r="I74" s="187"/>
      <c r="J74" s="187"/>
      <c r="K74" s="187"/>
      <c r="L74" s="187"/>
    </row>
    <row r="75" spans="2:12" ht="20.25">
      <c r="B75" s="186"/>
      <c r="I75" s="187"/>
      <c r="J75" s="187"/>
      <c r="K75" s="187"/>
      <c r="L75" s="187"/>
    </row>
    <row r="76" spans="2:12" ht="20.25">
      <c r="B76" s="186"/>
      <c r="I76" s="187"/>
      <c r="J76" s="187"/>
      <c r="K76" s="187"/>
      <c r="L76" s="187"/>
    </row>
    <row r="77" spans="2:12" ht="20.25">
      <c r="B77" s="186"/>
      <c r="I77" s="187"/>
      <c r="J77" s="187"/>
      <c r="K77" s="187"/>
      <c r="L77" s="187"/>
    </row>
    <row r="78" spans="2:12" ht="20.25">
      <c r="B78" s="186"/>
      <c r="I78" s="187"/>
      <c r="J78" s="187"/>
      <c r="K78" s="187"/>
      <c r="L78" s="187"/>
    </row>
    <row r="79" spans="2:12" ht="20.25">
      <c r="B79" s="186"/>
      <c r="I79" s="187"/>
      <c r="J79" s="187"/>
      <c r="K79" s="187"/>
      <c r="L79" s="187"/>
    </row>
    <row r="80" spans="2:12" ht="20.25">
      <c r="B80" s="186"/>
      <c r="I80" s="187"/>
      <c r="J80" s="187"/>
      <c r="K80" s="187"/>
      <c r="L80" s="187"/>
    </row>
    <row r="81" spans="2:12" ht="20.25">
      <c r="B81" s="186"/>
      <c r="I81" s="187"/>
      <c r="J81" s="187"/>
      <c r="K81" s="187"/>
      <c r="L81" s="187"/>
    </row>
    <row r="82" spans="2:12" ht="20.25">
      <c r="B82" s="186"/>
      <c r="I82" s="187"/>
      <c r="J82" s="187"/>
      <c r="K82" s="187"/>
      <c r="L82" s="187"/>
    </row>
    <row r="83" spans="2:12" ht="20.25">
      <c r="B83" s="186"/>
      <c r="I83" s="187"/>
      <c r="J83" s="187"/>
      <c r="K83" s="187"/>
      <c r="L83" s="187"/>
    </row>
    <row r="84" spans="2:12" ht="20.25">
      <c r="B84" s="186"/>
      <c r="I84" s="187"/>
      <c r="J84" s="187"/>
      <c r="K84" s="187"/>
      <c r="L84" s="187"/>
    </row>
    <row r="85" spans="2:12" ht="20.25">
      <c r="B85" s="186"/>
      <c r="I85" s="187"/>
      <c r="J85" s="187"/>
      <c r="K85" s="187"/>
      <c r="L85" s="187"/>
    </row>
    <row r="86" spans="2:12" ht="20.25">
      <c r="B86" s="186"/>
      <c r="I86" s="187"/>
      <c r="J86" s="187"/>
      <c r="K86" s="187"/>
      <c r="L86" s="187"/>
    </row>
    <row r="87" spans="2:12" ht="20.25">
      <c r="B87" s="186"/>
      <c r="I87" s="187"/>
      <c r="J87" s="187"/>
      <c r="K87" s="187"/>
      <c r="L87" s="187"/>
    </row>
    <row r="88" spans="2:12" ht="20.25">
      <c r="B88" s="186"/>
      <c r="I88" s="187"/>
      <c r="J88" s="187"/>
      <c r="K88" s="187"/>
      <c r="L88" s="187"/>
    </row>
    <row r="89" spans="2:12" ht="20.25">
      <c r="B89" s="186"/>
      <c r="I89" s="187"/>
      <c r="J89" s="187"/>
      <c r="K89" s="187"/>
      <c r="L89" s="187"/>
    </row>
    <row r="90" spans="2:12" ht="20.25">
      <c r="B90" s="186"/>
      <c r="I90" s="187"/>
      <c r="J90" s="187"/>
      <c r="K90" s="187"/>
      <c r="L90" s="187"/>
    </row>
    <row r="91" spans="2:12" ht="20.25">
      <c r="B91" s="186"/>
      <c r="I91" s="187"/>
      <c r="J91" s="187"/>
      <c r="K91" s="187"/>
      <c r="L91" s="187"/>
    </row>
    <row r="92" spans="2:12" ht="20.25">
      <c r="B92" s="186"/>
      <c r="I92" s="187"/>
      <c r="J92" s="187"/>
      <c r="K92" s="187"/>
      <c r="L92" s="187"/>
    </row>
    <row r="93" spans="2:12" ht="20.25">
      <c r="B93" s="186"/>
      <c r="I93" s="187"/>
      <c r="J93" s="187"/>
      <c r="K93" s="187"/>
      <c r="L93" s="187"/>
    </row>
    <row r="94" spans="2:12" ht="20.25">
      <c r="B94" s="186"/>
      <c r="I94" s="187"/>
      <c r="J94" s="187"/>
      <c r="K94" s="187"/>
      <c r="L94" s="187"/>
    </row>
    <row r="95" spans="2:12" ht="20.25">
      <c r="B95" s="186"/>
      <c r="I95" s="187"/>
      <c r="J95" s="187"/>
      <c r="K95" s="187"/>
      <c r="L95" s="187"/>
    </row>
    <row r="96" spans="2:12" ht="20.25">
      <c r="B96" s="186"/>
      <c r="I96" s="187"/>
      <c r="J96" s="187"/>
      <c r="K96" s="187"/>
      <c r="L96" s="187"/>
    </row>
    <row r="97" spans="2:12" ht="20.25">
      <c r="B97" s="186"/>
      <c r="I97" s="187"/>
      <c r="J97" s="187"/>
      <c r="K97" s="187"/>
      <c r="L97" s="187"/>
    </row>
    <row r="98" spans="2:12" ht="20.25">
      <c r="B98" s="186"/>
      <c r="I98" s="187"/>
      <c r="J98" s="187"/>
      <c r="K98" s="187"/>
      <c r="L98" s="187"/>
    </row>
    <row r="99" spans="2:12" ht="20.25">
      <c r="B99" s="186"/>
      <c r="I99" s="187"/>
      <c r="J99" s="187"/>
      <c r="K99" s="187"/>
      <c r="L99" s="187"/>
    </row>
    <row r="100" spans="2:12" ht="20.25">
      <c r="B100" s="186"/>
      <c r="I100" s="187"/>
      <c r="J100" s="187"/>
      <c r="K100" s="187"/>
      <c r="L100" s="187"/>
    </row>
    <row r="101" spans="2:12" ht="20.25">
      <c r="B101" s="186"/>
      <c r="I101" s="187"/>
      <c r="J101" s="187"/>
      <c r="K101" s="187"/>
      <c r="L101" s="187"/>
    </row>
    <row r="102" spans="2:12" ht="20.25">
      <c r="B102" s="186"/>
      <c r="I102" s="187"/>
      <c r="J102" s="187"/>
      <c r="K102" s="187"/>
      <c r="L102" s="187"/>
    </row>
    <row r="103" spans="2:12" ht="20.25">
      <c r="B103" s="186"/>
      <c r="I103" s="187"/>
      <c r="J103" s="187"/>
      <c r="K103" s="187"/>
      <c r="L103" s="187"/>
    </row>
    <row r="104" spans="2:12" ht="20.25">
      <c r="B104" s="186"/>
      <c r="I104" s="187"/>
      <c r="J104" s="187"/>
      <c r="K104" s="187"/>
      <c r="L104" s="187"/>
    </row>
    <row r="105" spans="2:12" ht="20.25">
      <c r="B105" s="186"/>
      <c r="I105" s="187"/>
      <c r="J105" s="187"/>
      <c r="K105" s="187"/>
      <c r="L105" s="187"/>
    </row>
    <row r="106" spans="2:12" ht="20.25">
      <c r="B106" s="186"/>
      <c r="I106" s="187"/>
      <c r="J106" s="187"/>
      <c r="K106" s="187"/>
      <c r="L106" s="187"/>
    </row>
    <row r="107" spans="2:12" ht="20.25">
      <c r="B107" s="186"/>
      <c r="I107" s="187"/>
      <c r="J107" s="187"/>
      <c r="K107" s="187"/>
      <c r="L107" s="187"/>
    </row>
    <row r="108" spans="2:12" ht="20.25">
      <c r="B108" s="186"/>
      <c r="I108" s="187"/>
      <c r="J108" s="187"/>
      <c r="K108" s="187"/>
      <c r="L108" s="187"/>
    </row>
    <row r="109" spans="2:12" ht="20.25">
      <c r="B109" s="186"/>
      <c r="I109" s="187"/>
      <c r="J109" s="187"/>
      <c r="K109" s="187"/>
      <c r="L109" s="187"/>
    </row>
    <row r="110" spans="2:12" ht="20.25">
      <c r="B110" s="186"/>
      <c r="I110" s="187"/>
      <c r="J110" s="187"/>
      <c r="K110" s="187"/>
      <c r="L110" s="187"/>
    </row>
    <row r="111" spans="2:12" ht="20.25">
      <c r="B111" s="186"/>
      <c r="I111" s="187"/>
      <c r="J111" s="187"/>
      <c r="K111" s="187"/>
      <c r="L111" s="187"/>
    </row>
    <row r="112" spans="2:12" ht="20.25">
      <c r="B112" s="186"/>
      <c r="I112" s="187"/>
      <c r="J112" s="187"/>
      <c r="K112" s="187"/>
      <c r="L112" s="187"/>
    </row>
    <row r="113" spans="2:12" ht="20.25">
      <c r="B113" s="186"/>
      <c r="I113" s="187"/>
      <c r="J113" s="187"/>
      <c r="K113" s="187"/>
      <c r="L113" s="187"/>
    </row>
    <row r="114" spans="2:12" ht="20.25">
      <c r="B114" s="186"/>
      <c r="I114" s="187"/>
      <c r="J114" s="187"/>
      <c r="K114" s="187"/>
      <c r="L114" s="187"/>
    </row>
    <row r="115" spans="2:12" ht="20.25">
      <c r="B115" s="186"/>
      <c r="I115" s="187"/>
      <c r="J115" s="187"/>
      <c r="K115" s="187"/>
      <c r="L115" s="187"/>
    </row>
    <row r="116" spans="2:12" ht="20.25">
      <c r="B116" s="186"/>
      <c r="I116" s="187"/>
      <c r="J116" s="187"/>
      <c r="K116" s="187"/>
      <c r="L116" s="187"/>
    </row>
    <row r="117" spans="2:12" ht="20.25">
      <c r="B117" s="186"/>
      <c r="I117" s="187"/>
      <c r="J117" s="187"/>
      <c r="K117" s="187"/>
      <c r="L117" s="187"/>
    </row>
    <row r="118" spans="2:12" ht="20.25">
      <c r="B118" s="186"/>
      <c r="I118" s="187"/>
      <c r="J118" s="187"/>
      <c r="K118" s="187"/>
      <c r="L118" s="187"/>
    </row>
    <row r="119" spans="2:12" ht="20.25">
      <c r="B119" s="186"/>
      <c r="I119" s="187"/>
      <c r="J119" s="187"/>
      <c r="K119" s="187"/>
      <c r="L119" s="187"/>
    </row>
    <row r="120" spans="2:12" ht="20.25">
      <c r="B120" s="186"/>
      <c r="I120" s="187"/>
      <c r="J120" s="187"/>
      <c r="K120" s="187"/>
      <c r="L120" s="187"/>
    </row>
    <row r="121" spans="2:12" ht="20.25">
      <c r="B121" s="186"/>
      <c r="I121" s="187"/>
      <c r="J121" s="187"/>
      <c r="K121" s="187"/>
      <c r="L121" s="187"/>
    </row>
    <row r="122" spans="2:12" ht="20.25">
      <c r="B122" s="186"/>
      <c r="I122" s="187"/>
      <c r="J122" s="187"/>
      <c r="K122" s="187"/>
      <c r="L122" s="187"/>
    </row>
    <row r="123" spans="2:12" ht="20.25">
      <c r="B123" s="186"/>
      <c r="I123" s="187"/>
      <c r="J123" s="187"/>
      <c r="K123" s="187"/>
      <c r="L123" s="187"/>
    </row>
    <row r="124" spans="2:12" ht="20.25">
      <c r="B124" s="186"/>
      <c r="I124" s="187"/>
      <c r="J124" s="187"/>
      <c r="K124" s="187"/>
      <c r="L124" s="187"/>
    </row>
    <row r="125" spans="2:12" ht="20.25">
      <c r="B125" s="186"/>
      <c r="I125" s="187"/>
      <c r="J125" s="187"/>
      <c r="K125" s="187"/>
      <c r="L125" s="187"/>
    </row>
    <row r="126" spans="2:12" ht="20.25">
      <c r="B126" s="186"/>
      <c r="I126" s="187"/>
      <c r="J126" s="187"/>
      <c r="K126" s="187"/>
      <c r="L126" s="187"/>
    </row>
    <row r="127" spans="2:12" ht="20.25">
      <c r="B127" s="186"/>
      <c r="I127" s="187"/>
      <c r="J127" s="187"/>
      <c r="K127" s="187"/>
      <c r="L127" s="187"/>
    </row>
    <row r="128" spans="2:12" ht="20.25">
      <c r="B128" s="186"/>
      <c r="I128" s="187"/>
      <c r="J128" s="187"/>
      <c r="K128" s="187"/>
      <c r="L128" s="187"/>
    </row>
    <row r="129" spans="2:12" ht="20.25">
      <c r="B129" s="186"/>
      <c r="I129" s="187"/>
      <c r="J129" s="187"/>
      <c r="K129" s="187"/>
      <c r="L129" s="187"/>
    </row>
    <row r="130" spans="2:12" ht="20.25">
      <c r="B130" s="186"/>
      <c r="I130" s="187"/>
      <c r="J130" s="187"/>
      <c r="K130" s="187"/>
      <c r="L130" s="187"/>
    </row>
    <row r="131" spans="2:12" ht="20.25">
      <c r="B131" s="186"/>
      <c r="I131" s="187"/>
      <c r="J131" s="187"/>
      <c r="K131" s="187"/>
      <c r="L131" s="187"/>
    </row>
    <row r="132" spans="9:12" ht="20.25">
      <c r="I132" s="187"/>
      <c r="J132" s="187"/>
      <c r="K132" s="187"/>
      <c r="L132" s="187"/>
    </row>
    <row r="133" spans="9:12" ht="20.25">
      <c r="I133" s="187"/>
      <c r="J133" s="187"/>
      <c r="K133" s="187"/>
      <c r="L133" s="187"/>
    </row>
    <row r="134" spans="9:12" ht="20.25">
      <c r="I134" s="187"/>
      <c r="J134" s="187"/>
      <c r="K134" s="187"/>
      <c r="L134" s="187"/>
    </row>
    <row r="135" spans="9:12" ht="20.25">
      <c r="I135" s="187"/>
      <c r="J135" s="187"/>
      <c r="K135" s="187"/>
      <c r="L135" s="187"/>
    </row>
    <row r="136" spans="9:12" ht="20.25">
      <c r="I136" s="187"/>
      <c r="J136" s="187"/>
      <c r="K136" s="187"/>
      <c r="L136" s="187"/>
    </row>
    <row r="137" spans="9:12" ht="20.25">
      <c r="I137" s="187"/>
      <c r="J137" s="187"/>
      <c r="K137" s="187"/>
      <c r="L137" s="187"/>
    </row>
    <row r="138" spans="9:12" ht="20.25">
      <c r="I138" s="187"/>
      <c r="J138" s="187"/>
      <c r="K138" s="187"/>
      <c r="L138" s="187"/>
    </row>
    <row r="139" spans="9:12" ht="20.25">
      <c r="I139" s="187"/>
      <c r="J139" s="187"/>
      <c r="K139" s="187"/>
      <c r="L139" s="187"/>
    </row>
    <row r="140" spans="9:12" ht="20.25">
      <c r="I140" s="187"/>
      <c r="J140" s="187"/>
      <c r="K140" s="187"/>
      <c r="L140" s="187"/>
    </row>
    <row r="141" spans="9:12" ht="20.25">
      <c r="I141" s="187"/>
      <c r="J141" s="187"/>
      <c r="K141" s="187"/>
      <c r="L141" s="187"/>
    </row>
    <row r="142" spans="9:12" ht="20.25">
      <c r="I142" s="187"/>
      <c r="J142" s="187"/>
      <c r="K142" s="187"/>
      <c r="L142" s="187"/>
    </row>
    <row r="143" spans="9:12" ht="20.25">
      <c r="I143" s="187"/>
      <c r="J143" s="187"/>
      <c r="K143" s="187"/>
      <c r="L143" s="187"/>
    </row>
    <row r="144" spans="9:12" ht="20.25">
      <c r="I144" s="187"/>
      <c r="J144" s="187"/>
      <c r="K144" s="187"/>
      <c r="L144" s="187"/>
    </row>
    <row r="145" spans="9:12" ht="20.25">
      <c r="I145" s="187"/>
      <c r="J145" s="187"/>
      <c r="K145" s="187"/>
      <c r="L145" s="187"/>
    </row>
    <row r="146" spans="9:12" ht="20.25">
      <c r="I146" s="187"/>
      <c r="J146" s="187"/>
      <c r="K146" s="187"/>
      <c r="L146" s="187"/>
    </row>
    <row r="147" spans="9:12" ht="20.25">
      <c r="I147" s="187"/>
      <c r="J147" s="187"/>
      <c r="K147" s="187"/>
      <c r="L147" s="187"/>
    </row>
    <row r="148" spans="9:12" ht="20.25">
      <c r="I148" s="187"/>
      <c r="J148" s="187"/>
      <c r="K148" s="187"/>
      <c r="L148" s="187"/>
    </row>
    <row r="149" spans="9:12" ht="20.25">
      <c r="I149" s="187"/>
      <c r="J149" s="187"/>
      <c r="K149" s="187"/>
      <c r="L149" s="187"/>
    </row>
    <row r="150" spans="9:12" ht="20.25">
      <c r="I150" s="187"/>
      <c r="J150" s="187"/>
      <c r="K150" s="187"/>
      <c r="L150" s="187"/>
    </row>
    <row r="151" spans="9:12" ht="20.25">
      <c r="I151" s="187"/>
      <c r="J151" s="187"/>
      <c r="K151" s="187"/>
      <c r="L151" s="187"/>
    </row>
    <row r="152" spans="9:12" ht="20.25">
      <c r="I152" s="187"/>
      <c r="J152" s="187"/>
      <c r="K152" s="187"/>
      <c r="L152" s="187"/>
    </row>
    <row r="153" spans="9:12" ht="20.25">
      <c r="I153" s="187"/>
      <c r="J153" s="187"/>
      <c r="K153" s="187"/>
      <c r="L153" s="187"/>
    </row>
    <row r="154" spans="9:12" ht="20.25">
      <c r="I154" s="187"/>
      <c r="J154" s="187"/>
      <c r="K154" s="187"/>
      <c r="L154" s="187"/>
    </row>
    <row r="155" spans="9:12" ht="20.25">
      <c r="I155" s="187"/>
      <c r="J155" s="187"/>
      <c r="K155" s="187"/>
      <c r="L155" s="187"/>
    </row>
    <row r="156" spans="9:12" ht="20.25">
      <c r="I156" s="187"/>
      <c r="J156" s="187"/>
      <c r="K156" s="187"/>
      <c r="L156" s="187"/>
    </row>
    <row r="157" spans="9:12" ht="20.25">
      <c r="I157" s="187"/>
      <c r="J157" s="187"/>
      <c r="K157" s="187"/>
      <c r="L157" s="187"/>
    </row>
    <row r="158" spans="9:12" ht="20.25">
      <c r="I158" s="187"/>
      <c r="J158" s="187"/>
      <c r="K158" s="187"/>
      <c r="L158" s="187"/>
    </row>
    <row r="159" spans="9:12" ht="20.25">
      <c r="I159" s="187"/>
      <c r="J159" s="187"/>
      <c r="K159" s="187"/>
      <c r="L159" s="187"/>
    </row>
    <row r="160" spans="9:12" ht="20.25">
      <c r="I160" s="187"/>
      <c r="J160" s="187"/>
      <c r="K160" s="187"/>
      <c r="L160" s="187"/>
    </row>
    <row r="161" spans="9:12" ht="20.25">
      <c r="I161" s="187"/>
      <c r="J161" s="187"/>
      <c r="K161" s="187"/>
      <c r="L161" s="187"/>
    </row>
    <row r="162" spans="9:12" ht="20.25">
      <c r="I162" s="187"/>
      <c r="J162" s="187"/>
      <c r="K162" s="187"/>
      <c r="L162" s="187"/>
    </row>
    <row r="163" spans="9:12" ht="20.25">
      <c r="I163" s="187"/>
      <c r="J163" s="187"/>
      <c r="K163" s="187"/>
      <c r="L163" s="187"/>
    </row>
    <row r="164" spans="9:12" ht="20.25">
      <c r="I164" s="187"/>
      <c r="J164" s="187"/>
      <c r="K164" s="187"/>
      <c r="L164" s="187"/>
    </row>
    <row r="165" spans="9:12" ht="20.25">
      <c r="I165" s="187"/>
      <c r="J165" s="187"/>
      <c r="K165" s="187"/>
      <c r="L165" s="187"/>
    </row>
    <row r="166" spans="9:12" ht="20.25">
      <c r="I166" s="187"/>
      <c r="J166" s="187"/>
      <c r="K166" s="187"/>
      <c r="L166" s="187"/>
    </row>
    <row r="167" spans="9:12" ht="20.25">
      <c r="I167" s="187"/>
      <c r="J167" s="187"/>
      <c r="K167" s="187"/>
      <c r="L167" s="187"/>
    </row>
    <row r="168" spans="9:12" ht="20.25">
      <c r="I168" s="187"/>
      <c r="J168" s="187"/>
      <c r="K168" s="187"/>
      <c r="L168" s="187"/>
    </row>
    <row r="169" spans="9:12" ht="20.25">
      <c r="I169" s="187"/>
      <c r="J169" s="187"/>
      <c r="K169" s="187"/>
      <c r="L169" s="187"/>
    </row>
    <row r="170" spans="9:12" ht="20.25">
      <c r="I170" s="187"/>
      <c r="J170" s="187"/>
      <c r="K170" s="187"/>
      <c r="L170" s="187"/>
    </row>
    <row r="171" spans="9:12" ht="20.25">
      <c r="I171" s="187"/>
      <c r="J171" s="187"/>
      <c r="K171" s="187"/>
      <c r="L171" s="187"/>
    </row>
    <row r="172" spans="9:12" ht="20.25">
      <c r="I172" s="187"/>
      <c r="J172" s="187"/>
      <c r="K172" s="187"/>
      <c r="L172" s="187"/>
    </row>
    <row r="173" spans="9:12" ht="20.25">
      <c r="I173" s="187"/>
      <c r="J173" s="187"/>
      <c r="K173" s="187"/>
      <c r="L173" s="187"/>
    </row>
    <row r="174" spans="9:12" ht="20.25">
      <c r="I174" s="187"/>
      <c r="J174" s="187"/>
      <c r="K174" s="187"/>
      <c r="L174" s="187"/>
    </row>
    <row r="175" spans="9:12" ht="20.25">
      <c r="I175" s="187"/>
      <c r="J175" s="187"/>
      <c r="K175" s="187"/>
      <c r="L175" s="187"/>
    </row>
    <row r="176" spans="9:12" ht="20.25">
      <c r="I176" s="187"/>
      <c r="J176" s="187"/>
      <c r="K176" s="187"/>
      <c r="L176" s="187"/>
    </row>
    <row r="177" spans="9:12" ht="20.25">
      <c r="I177" s="187"/>
      <c r="J177" s="187"/>
      <c r="K177" s="187"/>
      <c r="L177" s="187"/>
    </row>
    <row r="178" spans="9:12" ht="20.25">
      <c r="I178" s="187"/>
      <c r="J178" s="187"/>
      <c r="K178" s="187"/>
      <c r="L178" s="187"/>
    </row>
    <row r="179" spans="9:12" ht="20.25">
      <c r="I179" s="187"/>
      <c r="J179" s="187"/>
      <c r="K179" s="187"/>
      <c r="L179" s="187"/>
    </row>
    <row r="180" spans="9:12" ht="20.25">
      <c r="I180" s="187"/>
      <c r="J180" s="187"/>
      <c r="K180" s="187"/>
      <c r="L180" s="187"/>
    </row>
    <row r="181" spans="9:12" ht="20.25">
      <c r="I181" s="187"/>
      <c r="J181" s="187"/>
      <c r="K181" s="187"/>
      <c r="L181" s="187"/>
    </row>
    <row r="182" spans="9:12" ht="20.25">
      <c r="I182" s="187"/>
      <c r="J182" s="187"/>
      <c r="K182" s="187"/>
      <c r="L182" s="187"/>
    </row>
    <row r="183" spans="9:12" ht="20.25">
      <c r="I183" s="187"/>
      <c r="J183" s="187"/>
      <c r="K183" s="187"/>
      <c r="L183" s="187"/>
    </row>
    <row r="184" spans="9:12" ht="20.25">
      <c r="I184" s="187"/>
      <c r="J184" s="187"/>
      <c r="K184" s="187"/>
      <c r="L184" s="187"/>
    </row>
    <row r="185" spans="9:12" ht="20.25">
      <c r="I185" s="187"/>
      <c r="J185" s="187"/>
      <c r="K185" s="187"/>
      <c r="L185" s="187"/>
    </row>
    <row r="186" spans="9:12" ht="20.25">
      <c r="I186" s="187"/>
      <c r="J186" s="187"/>
      <c r="K186" s="187"/>
      <c r="L186" s="187"/>
    </row>
    <row r="187" spans="9:12" ht="20.25">
      <c r="I187" s="187"/>
      <c r="J187" s="187"/>
      <c r="K187" s="187"/>
      <c r="L187" s="187"/>
    </row>
    <row r="188" spans="9:12" ht="20.25">
      <c r="I188" s="187"/>
      <c r="J188" s="187"/>
      <c r="K188" s="187"/>
      <c r="L188" s="187"/>
    </row>
    <row r="189" spans="9:12" ht="20.25">
      <c r="I189" s="187"/>
      <c r="J189" s="187"/>
      <c r="K189" s="187"/>
      <c r="L189" s="187"/>
    </row>
    <row r="190" spans="9:12" ht="20.25">
      <c r="I190" s="187"/>
      <c r="J190" s="187"/>
      <c r="K190" s="187"/>
      <c r="L190" s="187"/>
    </row>
    <row r="191" spans="9:12" ht="20.25">
      <c r="I191" s="187"/>
      <c r="J191" s="187"/>
      <c r="K191" s="187"/>
      <c r="L191" s="187"/>
    </row>
    <row r="192" spans="9:12" ht="20.25">
      <c r="I192" s="187"/>
      <c r="J192" s="187"/>
      <c r="K192" s="187"/>
      <c r="L192" s="187"/>
    </row>
    <row r="193" spans="9:12" ht="20.25">
      <c r="I193" s="187"/>
      <c r="J193" s="187"/>
      <c r="K193" s="187"/>
      <c r="L193" s="187"/>
    </row>
    <row r="194" spans="9:12" ht="20.25">
      <c r="I194" s="187"/>
      <c r="J194" s="187"/>
      <c r="K194" s="187"/>
      <c r="L194" s="187"/>
    </row>
  </sheetData>
  <mergeCells count="42">
    <mergeCell ref="DY5:EA6"/>
    <mergeCell ref="DD5:DF6"/>
    <mergeCell ref="BK5:BM6"/>
    <mergeCell ref="DA5:DC6"/>
    <mergeCell ref="CL5:CN6"/>
    <mergeCell ref="CF5:CH6"/>
    <mergeCell ref="DS5:DU6"/>
    <mergeCell ref="DV5:DX6"/>
    <mergeCell ref="CC5:CE6"/>
    <mergeCell ref="CX5:CZ6"/>
    <mergeCell ref="CU5:CW6"/>
    <mergeCell ref="BN5:BP6"/>
    <mergeCell ref="EH5:EI5"/>
    <mergeCell ref="AA5:AC5"/>
    <mergeCell ref="AA6:AC6"/>
    <mergeCell ref="CO5:CQ5"/>
    <mergeCell ref="CO6:CQ6"/>
    <mergeCell ref="BE5:BG5"/>
    <mergeCell ref="BH5:BJ5"/>
    <mergeCell ref="BT5:BV5"/>
    <mergeCell ref="BQ5:BS5"/>
    <mergeCell ref="CI5:CK6"/>
    <mergeCell ref="R5:T5"/>
    <mergeCell ref="EE5:EG6"/>
    <mergeCell ref="DG5:DI6"/>
    <mergeCell ref="DJ5:DL6"/>
    <mergeCell ref="CR5:CT6"/>
    <mergeCell ref="DM5:DO6"/>
    <mergeCell ref="AS5:AU5"/>
    <mergeCell ref="R6:T6"/>
    <mergeCell ref="BQ6:BS6"/>
    <mergeCell ref="BT6:BV6"/>
    <mergeCell ref="EB5:ED6"/>
    <mergeCell ref="AG5:AI5"/>
    <mergeCell ref="AY6:BA6"/>
    <mergeCell ref="AV5:AX5"/>
    <mergeCell ref="BB5:BD5"/>
    <mergeCell ref="AY5:BA5"/>
    <mergeCell ref="DP5:DR6"/>
    <mergeCell ref="AJ5:AL6"/>
    <mergeCell ref="AM6:AO6"/>
    <mergeCell ref="BW6:BY6"/>
  </mergeCells>
  <printOptions/>
  <pageMargins left="0.6299212598425197" right="0" top="0.7480314960629921" bottom="0.984251968503937" header="0.5118110236220472" footer="0.5118110236220472"/>
  <pageSetup fitToHeight="0" fitToWidth="6" horizontalDpi="300" verticalDpi="300" orientation="landscape" pageOrder="overThenDown" paperSize="9" scale="53" r:id="rId1"/>
  <headerFooter alignWithMargins="0">
    <oddFooter>&amp;CСтраница &amp;P&amp;R&amp;F&amp;D</oddFooter>
  </headerFooter>
  <colBreaks count="7" manualBreakCount="7">
    <brk id="17" max="31" man="1"/>
    <brk id="32" max="31" man="1"/>
    <brk id="47" max="31" man="1"/>
    <brk id="62" max="31" man="1"/>
    <brk id="89" max="31" man="1"/>
    <brk id="110" max="31" man="1"/>
    <brk id="125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31"/>
  <sheetViews>
    <sheetView view="pageBreakPreview" zoomScale="60" zoomScaleNormal="60" workbookViewId="0" topLeftCell="A1">
      <pane xSplit="2" ySplit="5" topLeftCell="AN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K27" sqref="BK27"/>
    </sheetView>
  </sheetViews>
  <sheetFormatPr defaultColWidth="9.00390625" defaultRowHeight="12.75"/>
  <cols>
    <col min="1" max="1" width="6.625" style="0" customWidth="1"/>
    <col min="2" max="2" width="30.375" style="0" customWidth="1"/>
    <col min="3" max="3" width="14.25390625" style="0" customWidth="1"/>
    <col min="4" max="4" width="13.00390625" style="0" customWidth="1"/>
    <col min="5" max="5" width="14.875" style="0" customWidth="1"/>
    <col min="6" max="6" width="15.125" style="0" customWidth="1"/>
    <col min="7" max="7" width="16.25390625" style="0" customWidth="1"/>
    <col min="8" max="8" width="13.125" style="0" customWidth="1"/>
    <col min="9" max="9" width="16.00390625" style="0" customWidth="1"/>
    <col min="10" max="10" width="11.625" style="0" customWidth="1"/>
    <col min="11" max="11" width="11.75390625" style="0" customWidth="1"/>
    <col min="12" max="12" width="14.375" style="0" customWidth="1"/>
    <col min="13" max="13" width="13.375" style="0" customWidth="1"/>
    <col min="14" max="14" width="11.375" style="0" customWidth="1"/>
    <col min="15" max="15" width="19.375" style="0" customWidth="1"/>
    <col min="16" max="16" width="13.25390625" style="0" customWidth="1"/>
    <col min="17" max="17" width="14.75390625" style="0" customWidth="1"/>
    <col min="18" max="18" width="14.875" style="0" customWidth="1"/>
    <col min="19" max="19" width="15.375" style="0" customWidth="1"/>
    <col min="20" max="20" width="9.00390625" style="0" customWidth="1"/>
    <col min="21" max="21" width="13.375" style="0" customWidth="1"/>
    <col min="22" max="22" width="13.75390625" style="0" customWidth="1"/>
    <col min="23" max="23" width="17.375" style="0" customWidth="1"/>
    <col min="24" max="24" width="14.00390625" style="0" bestFit="1" customWidth="1"/>
    <col min="25" max="25" width="11.375" style="0" customWidth="1"/>
    <col min="26" max="28" width="11.25390625" style="0" customWidth="1"/>
    <col min="29" max="29" width="13.00390625" style="0" customWidth="1"/>
    <col min="30" max="30" width="13.375" style="0" customWidth="1"/>
    <col min="31" max="31" width="11.00390625" style="0" customWidth="1"/>
    <col min="33" max="33" width="11.625" style="0" bestFit="1" customWidth="1"/>
    <col min="34" max="34" width="15.125" style="0" bestFit="1" customWidth="1"/>
    <col min="35" max="35" width="11.625" style="0" customWidth="1"/>
    <col min="36" max="36" width="16.25390625" style="0" customWidth="1"/>
    <col min="37" max="37" width="15.00390625" style="0" customWidth="1"/>
    <col min="38" max="38" width="16.625" style="0" bestFit="1" customWidth="1"/>
    <col min="39" max="40" width="14.625" style="0" customWidth="1"/>
    <col min="41" max="41" width="12.875" style="0" customWidth="1"/>
    <col min="42" max="42" width="14.125" style="0" customWidth="1"/>
    <col min="43" max="43" width="14.875" style="0" customWidth="1"/>
    <col min="44" max="44" width="16.375" style="0" customWidth="1"/>
    <col min="45" max="45" width="12.125" style="0" customWidth="1"/>
    <col min="46" max="46" width="11.125" style="0" customWidth="1"/>
    <col min="47" max="47" width="16.625" style="0" customWidth="1"/>
    <col min="48" max="48" width="11.75390625" style="0" customWidth="1"/>
    <col min="49" max="49" width="15.875" style="0" customWidth="1"/>
    <col min="50" max="50" width="15.25390625" style="0" customWidth="1"/>
    <col min="51" max="51" width="13.625" style="0" customWidth="1"/>
    <col min="52" max="52" width="13.875" style="0" customWidth="1"/>
    <col min="53" max="53" width="16.625" style="0" bestFit="1" customWidth="1"/>
    <col min="54" max="54" width="14.875" style="0" hidden="1" customWidth="1"/>
    <col min="55" max="55" width="9.25390625" style="0" hidden="1" customWidth="1"/>
    <col min="56" max="56" width="13.125" style="0" hidden="1" customWidth="1"/>
    <col min="57" max="57" width="17.625" style="0" hidden="1" customWidth="1"/>
    <col min="58" max="58" width="19.875" style="0" hidden="1" customWidth="1"/>
    <col min="59" max="59" width="17.625" style="0" hidden="1" customWidth="1"/>
    <col min="60" max="62" width="17.625" style="0" customWidth="1"/>
    <col min="63" max="63" width="26.625" style="0" customWidth="1"/>
    <col min="64" max="64" width="24.00390625" style="0" customWidth="1"/>
    <col min="65" max="65" width="13.75390625" style="0" customWidth="1"/>
    <col min="66" max="66" width="16.75390625" style="0" bestFit="1" customWidth="1"/>
  </cols>
  <sheetData>
    <row r="1" spans="1:65" ht="24">
      <c r="A1" s="217" t="s">
        <v>170</v>
      </c>
      <c r="B1" s="217"/>
      <c r="C1" s="217"/>
      <c r="D1" s="217"/>
      <c r="E1" s="217"/>
      <c r="F1" s="217"/>
      <c r="G1" s="217"/>
      <c r="H1" s="217"/>
      <c r="I1" s="217"/>
      <c r="J1" s="217"/>
      <c r="K1" s="193"/>
      <c r="L1" s="193"/>
      <c r="M1" s="193"/>
      <c r="N1" s="198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</row>
    <row r="2" spans="1:65" ht="21" thickBot="1">
      <c r="A2" s="193"/>
      <c r="B2" s="193"/>
      <c r="C2" s="202"/>
      <c r="D2" s="202"/>
      <c r="E2" s="202" t="s">
        <v>242</v>
      </c>
      <c r="F2" s="202"/>
      <c r="G2" s="202"/>
      <c r="H2" s="202"/>
      <c r="I2" s="202"/>
      <c r="J2" s="202"/>
      <c r="K2" s="193"/>
      <c r="L2" s="218"/>
      <c r="M2" s="219" t="s">
        <v>176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</row>
    <row r="3" spans="1:65" ht="78.75" customHeight="1">
      <c r="A3" s="492" t="s">
        <v>40</v>
      </c>
      <c r="B3" s="492" t="s">
        <v>129</v>
      </c>
      <c r="C3" s="901" t="s">
        <v>130</v>
      </c>
      <c r="D3" s="902"/>
      <c r="E3" s="903"/>
      <c r="F3" s="901" t="s">
        <v>132</v>
      </c>
      <c r="G3" s="902"/>
      <c r="H3" s="902"/>
      <c r="I3" s="919" t="s">
        <v>220</v>
      </c>
      <c r="J3" s="920"/>
      <c r="K3" s="921"/>
      <c r="L3" s="493" t="s">
        <v>133</v>
      </c>
      <c r="M3" s="496"/>
      <c r="N3" s="499"/>
      <c r="O3" s="901" t="s">
        <v>143</v>
      </c>
      <c r="P3" s="902"/>
      <c r="Q3" s="903"/>
      <c r="R3" s="928" t="s">
        <v>206</v>
      </c>
      <c r="S3" s="929"/>
      <c r="T3" s="930"/>
      <c r="U3" s="901" t="s">
        <v>68</v>
      </c>
      <c r="V3" s="902"/>
      <c r="W3" s="903"/>
      <c r="X3" s="902" t="s">
        <v>65</v>
      </c>
      <c r="Y3" s="902"/>
      <c r="Z3" s="902"/>
      <c r="AA3" s="919" t="s">
        <v>234</v>
      </c>
      <c r="AB3" s="920"/>
      <c r="AC3" s="921"/>
      <c r="AD3" s="901" t="s">
        <v>144</v>
      </c>
      <c r="AE3" s="902"/>
      <c r="AF3" s="903"/>
      <c r="AG3" s="901" t="s">
        <v>95</v>
      </c>
      <c r="AH3" s="902"/>
      <c r="AI3" s="903"/>
      <c r="AJ3" s="901" t="s">
        <v>193</v>
      </c>
      <c r="AK3" s="902"/>
      <c r="AL3" s="903"/>
      <c r="AM3" s="500" t="s">
        <v>167</v>
      </c>
      <c r="AN3" s="501"/>
      <c r="AO3" s="502"/>
      <c r="AP3" s="493" t="s">
        <v>200</v>
      </c>
      <c r="AQ3" s="496"/>
      <c r="AR3" s="499"/>
      <c r="AS3" s="496" t="s">
        <v>145</v>
      </c>
      <c r="AT3" s="496"/>
      <c r="AU3" s="496"/>
      <c r="AV3" s="919" t="s">
        <v>235</v>
      </c>
      <c r="AW3" s="920"/>
      <c r="AX3" s="921"/>
      <c r="AY3" s="901" t="s">
        <v>146</v>
      </c>
      <c r="AZ3" s="902"/>
      <c r="BA3" s="903"/>
      <c r="BB3" s="503"/>
      <c r="BC3" s="497" t="s">
        <v>187</v>
      </c>
      <c r="BD3" s="498"/>
      <c r="BE3" s="504" t="s">
        <v>186</v>
      </c>
      <c r="BF3" s="496"/>
      <c r="BG3" s="496"/>
      <c r="BH3" s="904" t="s">
        <v>214</v>
      </c>
      <c r="BI3" s="905"/>
      <c r="BJ3" s="906"/>
      <c r="BK3" s="897" t="s">
        <v>142</v>
      </c>
      <c r="BL3" s="897"/>
      <c r="BM3" s="898"/>
    </row>
    <row r="4" spans="1:65" ht="64.5" customHeight="1" thickBot="1">
      <c r="A4" s="505"/>
      <c r="B4" s="506"/>
      <c r="C4" s="916" t="s">
        <v>82</v>
      </c>
      <c r="D4" s="917"/>
      <c r="E4" s="918"/>
      <c r="F4" s="916" t="s">
        <v>46</v>
      </c>
      <c r="G4" s="917"/>
      <c r="H4" s="918"/>
      <c r="I4" s="916" t="s">
        <v>219</v>
      </c>
      <c r="J4" s="917"/>
      <c r="K4" s="918"/>
      <c r="L4" s="916" t="s">
        <v>47</v>
      </c>
      <c r="M4" s="917"/>
      <c r="N4" s="918"/>
      <c r="O4" s="916" t="s">
        <v>94</v>
      </c>
      <c r="P4" s="917"/>
      <c r="Q4" s="918"/>
      <c r="R4" s="507"/>
      <c r="S4" s="509">
        <v>250324</v>
      </c>
      <c r="T4" s="508"/>
      <c r="U4" s="916" t="s">
        <v>55</v>
      </c>
      <c r="V4" s="917"/>
      <c r="W4" s="918"/>
      <c r="X4" s="916" t="s">
        <v>54</v>
      </c>
      <c r="Y4" s="917"/>
      <c r="Z4" s="917"/>
      <c r="AA4" s="925">
        <v>90501</v>
      </c>
      <c r="AB4" s="926"/>
      <c r="AC4" s="927"/>
      <c r="AD4" s="512"/>
      <c r="AE4" s="511" t="s">
        <v>115</v>
      </c>
      <c r="AF4" s="513"/>
      <c r="AG4" s="922">
        <v>130000</v>
      </c>
      <c r="AH4" s="923"/>
      <c r="AI4" s="924"/>
      <c r="AJ4" s="650" t="s">
        <v>196</v>
      </c>
      <c r="AK4" s="514">
        <v>150201</v>
      </c>
      <c r="AL4" s="515">
        <v>150202</v>
      </c>
      <c r="AM4" s="516"/>
      <c r="AN4" s="517" t="s">
        <v>105</v>
      </c>
      <c r="AO4" s="518"/>
      <c r="AP4" s="913" t="s">
        <v>89</v>
      </c>
      <c r="AQ4" s="914"/>
      <c r="AR4" s="915"/>
      <c r="AS4" s="511"/>
      <c r="AT4" s="511" t="s">
        <v>77</v>
      </c>
      <c r="AU4" s="511"/>
      <c r="AV4" s="907">
        <v>180409</v>
      </c>
      <c r="AW4" s="908"/>
      <c r="AX4" s="909"/>
      <c r="AY4" s="913" t="s">
        <v>109</v>
      </c>
      <c r="AZ4" s="914"/>
      <c r="BA4" s="915"/>
      <c r="BB4" s="516">
        <v>250380</v>
      </c>
      <c r="BC4" s="511"/>
      <c r="BD4" s="513"/>
      <c r="BE4" s="519">
        <v>250354</v>
      </c>
      <c r="BF4" s="520"/>
      <c r="BG4" s="511"/>
      <c r="BH4" s="910">
        <v>250344</v>
      </c>
      <c r="BI4" s="911"/>
      <c r="BJ4" s="912"/>
      <c r="BK4" s="899"/>
      <c r="BL4" s="899"/>
      <c r="BM4" s="900"/>
    </row>
    <row r="5" spans="1:65" ht="26.25" thickBot="1">
      <c r="A5" s="521"/>
      <c r="B5" s="522"/>
      <c r="C5" s="523" t="s">
        <v>41</v>
      </c>
      <c r="D5" s="524" t="s">
        <v>42</v>
      </c>
      <c r="E5" s="524" t="s">
        <v>0</v>
      </c>
      <c r="F5" s="525" t="s">
        <v>41</v>
      </c>
      <c r="G5" s="524" t="s">
        <v>42</v>
      </c>
      <c r="H5" s="526" t="s">
        <v>0</v>
      </c>
      <c r="I5" s="523" t="s">
        <v>41</v>
      </c>
      <c r="J5" s="524" t="s">
        <v>42</v>
      </c>
      <c r="K5" s="526" t="s">
        <v>0</v>
      </c>
      <c r="L5" s="523" t="s">
        <v>41</v>
      </c>
      <c r="M5" s="524" t="s">
        <v>42</v>
      </c>
      <c r="N5" s="526" t="s">
        <v>0</v>
      </c>
      <c r="O5" s="529" t="s">
        <v>41</v>
      </c>
      <c r="P5" s="528" t="s">
        <v>42</v>
      </c>
      <c r="Q5" s="537" t="s">
        <v>0</v>
      </c>
      <c r="R5" s="529" t="s">
        <v>41</v>
      </c>
      <c r="S5" s="528" t="s">
        <v>42</v>
      </c>
      <c r="T5" s="530" t="s">
        <v>0</v>
      </c>
      <c r="U5" s="523" t="s">
        <v>41</v>
      </c>
      <c r="V5" s="528" t="s">
        <v>42</v>
      </c>
      <c r="W5" s="526" t="s">
        <v>0</v>
      </c>
      <c r="X5" s="523" t="s">
        <v>41</v>
      </c>
      <c r="Y5" s="524" t="s">
        <v>42</v>
      </c>
      <c r="Z5" s="783" t="s">
        <v>0</v>
      </c>
      <c r="AA5" s="784" t="s">
        <v>41</v>
      </c>
      <c r="AB5" s="785" t="s">
        <v>42</v>
      </c>
      <c r="AC5" s="786" t="s">
        <v>0</v>
      </c>
      <c r="AD5" s="527" t="s">
        <v>41</v>
      </c>
      <c r="AE5" s="528" t="s">
        <v>42</v>
      </c>
      <c r="AF5" s="530" t="s">
        <v>0</v>
      </c>
      <c r="AG5" s="523" t="s">
        <v>41</v>
      </c>
      <c r="AH5" s="524" t="s">
        <v>42</v>
      </c>
      <c r="AI5" s="526" t="s">
        <v>0</v>
      </c>
      <c r="AJ5" s="529" t="s">
        <v>41</v>
      </c>
      <c r="AK5" s="528" t="s">
        <v>42</v>
      </c>
      <c r="AL5" s="530" t="s">
        <v>0</v>
      </c>
      <c r="AM5" s="529" t="s">
        <v>41</v>
      </c>
      <c r="AN5" s="528" t="s">
        <v>42</v>
      </c>
      <c r="AO5" s="530" t="s">
        <v>0</v>
      </c>
      <c r="AP5" s="529" t="s">
        <v>41</v>
      </c>
      <c r="AQ5" s="528" t="s">
        <v>42</v>
      </c>
      <c r="AR5" s="530" t="s">
        <v>0</v>
      </c>
      <c r="AS5" s="533" t="s">
        <v>41</v>
      </c>
      <c r="AT5" s="534" t="s">
        <v>42</v>
      </c>
      <c r="AU5" s="535" t="s">
        <v>0</v>
      </c>
      <c r="AV5" s="529" t="s">
        <v>41</v>
      </c>
      <c r="AW5" s="528" t="s">
        <v>42</v>
      </c>
      <c r="AX5" s="530" t="s">
        <v>0</v>
      </c>
      <c r="AY5" s="529" t="s">
        <v>41</v>
      </c>
      <c r="AZ5" s="528" t="s">
        <v>42</v>
      </c>
      <c r="BA5" s="530" t="s">
        <v>0</v>
      </c>
      <c r="BB5" s="536" t="s">
        <v>41</v>
      </c>
      <c r="BC5" s="534" t="s">
        <v>42</v>
      </c>
      <c r="BD5" s="537" t="s">
        <v>0</v>
      </c>
      <c r="BE5" s="529" t="s">
        <v>41</v>
      </c>
      <c r="BF5" s="531" t="s">
        <v>42</v>
      </c>
      <c r="BG5" s="532" t="s">
        <v>0</v>
      </c>
      <c r="BH5" s="529" t="s">
        <v>41</v>
      </c>
      <c r="BI5" s="528" t="s">
        <v>42</v>
      </c>
      <c r="BJ5" s="530" t="s">
        <v>0</v>
      </c>
      <c r="BK5" s="631" t="s">
        <v>41</v>
      </c>
      <c r="BL5" s="538" t="s">
        <v>42</v>
      </c>
      <c r="BM5" s="539" t="s">
        <v>0</v>
      </c>
    </row>
    <row r="6" spans="1:67" ht="31.5" customHeight="1">
      <c r="A6" s="540">
        <v>1</v>
      </c>
      <c r="B6" s="541" t="s">
        <v>147</v>
      </c>
      <c r="C6" s="542">
        <f>SUM('Ф1'!C6)+'Ф2'!C6+'Ф3'!C6</f>
        <v>25</v>
      </c>
      <c r="D6" s="543">
        <f>SUM('Ф1'!D6)+'Ф2'!D6+'Ф3'!D6</f>
        <v>0</v>
      </c>
      <c r="E6" s="544">
        <f>(D6/C6)*100</f>
        <v>0</v>
      </c>
      <c r="F6" s="543">
        <f>SUM('Ф1'!F6)+'Ф2'!F6+'Ф3'!F6</f>
        <v>300</v>
      </c>
      <c r="G6" s="543">
        <f>SUM('Ф1'!G6)+'Ф2'!G6+'Ф3'!G6</f>
        <v>100.20186</v>
      </c>
      <c r="H6" s="544">
        <f aca="true" t="shared" si="0" ref="H6:H13">(G6/F6)*100</f>
        <v>33.400619999999996</v>
      </c>
      <c r="I6" s="545">
        <f>SUM('Ф1'!I6)+'Ф2'!I6+'Ф3'!I6</f>
        <v>10</v>
      </c>
      <c r="J6" s="546">
        <f>SUM('Ф1'!J6)+'Ф2'!J6+'Ф3'!J6</f>
        <v>0</v>
      </c>
      <c r="K6" s="553">
        <f>(J6/I6)*100</f>
        <v>0</v>
      </c>
      <c r="L6" s="545">
        <f>SUM('Ф1'!L6)+'Ф2'!L6+'Ф3'!L6</f>
        <v>0</v>
      </c>
      <c r="M6" s="546">
        <f>SUM('Ф1'!M6)+'Ф2'!M6+'Ф3'!M6</f>
        <v>0</v>
      </c>
      <c r="N6" s="548"/>
      <c r="O6" s="545">
        <f>SUM('Ф1'!AB6)+'Ф2'!AD12+'Ф3'!AB6</f>
        <v>15</v>
      </c>
      <c r="P6" s="546">
        <f>SUM('Ф1'!AC6)+'Ф2'!AE6+'Ф3'!AC6</f>
        <v>23.45</v>
      </c>
      <c r="Q6" s="561">
        <f>(P6/O6)*100</f>
        <v>156.33333333333331</v>
      </c>
      <c r="R6" s="543">
        <f>'Ф3'!AN6</f>
        <v>0</v>
      </c>
      <c r="S6" s="549">
        <f>'Ф3'!AO6</f>
        <v>0</v>
      </c>
      <c r="T6" s="552" t="e">
        <f>(S6/R6)*100</f>
        <v>#DIV/0!</v>
      </c>
      <c r="U6" s="542">
        <f>SUM('Ф1'!AN6)+'Ф2'!AP6+'Ф3'!AQ6</f>
        <v>4.2</v>
      </c>
      <c r="V6" s="510">
        <f>SUM('Ф1'!AO6)+'Ф2'!AQ6+'Ф3'!AR6</f>
        <v>0</v>
      </c>
      <c r="W6" s="544">
        <f>(V6/U6)*100</f>
        <v>0</v>
      </c>
      <c r="X6" s="545"/>
      <c r="Y6" s="546"/>
      <c r="Z6" s="553"/>
      <c r="AA6" s="560">
        <f>'Ф2'!AW6</f>
        <v>0</v>
      </c>
      <c r="AB6" s="561">
        <f>'Ф2'!AX6</f>
        <v>7.521</v>
      </c>
      <c r="AC6" s="562" t="e">
        <f>AB6/AA6*100</f>
        <v>#DIV/0!</v>
      </c>
      <c r="AD6" s="546"/>
      <c r="AE6" s="546"/>
      <c r="AF6" s="544"/>
      <c r="AG6" s="545">
        <f>SUM('Ф1'!BB6)+'Ф2'!BC6+'Ф3'!BF6</f>
        <v>0</v>
      </c>
      <c r="AH6" s="546">
        <f>SUM('Ф1'!BC6)+'Ф2'!BD6+'Ф3'!BG6+'Ф2'!BX6</f>
        <v>0</v>
      </c>
      <c r="AI6" s="547" t="e">
        <f>(AH6/AG6)*100</f>
        <v>#DIV/0!</v>
      </c>
      <c r="AJ6" s="545">
        <f>SUM('Ф1'!BE6)+'Ф2'!BF6+'Ф3'!BI6</f>
        <v>0</v>
      </c>
      <c r="AK6" s="554">
        <f>SUM('Ф1'!BF6)+'Ф2'!BG6+'Ф3'!BJ6</f>
        <v>0</v>
      </c>
      <c r="AL6" s="552" t="e">
        <f>(AK6/AJ6)*100</f>
        <v>#DIV/0!</v>
      </c>
      <c r="AM6" s="632">
        <f>SUM('Ф1'!BI6)+'Ф2'!BJ6+'Ф3'!BM6</f>
        <v>0</v>
      </c>
      <c r="AN6" s="635">
        <f>SUM('Ф1'!BJ6)+'Ф2'!BK6+'Ф3'!BN6</f>
        <v>0</v>
      </c>
      <c r="AO6" s="544"/>
      <c r="AP6" s="545">
        <f>SUM('Ф1'!BL6)+'Ф2'!BM6+'Ф3'!BP6</f>
        <v>311.48643</v>
      </c>
      <c r="AQ6" s="546">
        <f>SUM('Ф1'!BM6)+'Ф2'!BN6+'Ф3'!BQ6</f>
        <v>0</v>
      </c>
      <c r="AR6" s="548">
        <f aca="true" t="shared" si="1" ref="AR6:AR25">(AQ6/AP6)*100</f>
        <v>0</v>
      </c>
      <c r="AS6" s="545">
        <f>SUM('Ф1'!BO6)+'Ф2'!BP6+'Ф3'!BS6</f>
        <v>2.04418</v>
      </c>
      <c r="AT6" s="554">
        <f>SUM('Ф1'!BP6)+'Ф2'!BQ6+'Ф3'!BT6</f>
        <v>0</v>
      </c>
      <c r="AU6" s="548">
        <f>SUM(AT6/AS6*100)</f>
        <v>0</v>
      </c>
      <c r="AV6" s="546">
        <f>SUM('Ф1'!BR6)+'Ф2'!BS6+'Ф3'!BV6</f>
        <v>0</v>
      </c>
      <c r="AW6" s="546">
        <f>SUM('Ф1'!BS6)+'Ф2'!BT6+'Ф3'!BW6</f>
        <v>0</v>
      </c>
      <c r="AX6" s="544"/>
      <c r="AY6" s="545">
        <f>SUM('Ф1'!BV6)+'Ф2'!BZ6+'Ф3'!BZ6</f>
        <v>0</v>
      </c>
      <c r="AZ6" s="546">
        <f>SUM('Ф1'!BW6)+'Ф2'!CA6+'Ф3'!CA6</f>
        <v>0</v>
      </c>
      <c r="BA6" s="551"/>
      <c r="BB6" s="545">
        <f>'Ф3'!CI6</f>
        <v>0</v>
      </c>
      <c r="BC6" s="554">
        <f>'Ф3'!CJ6</f>
        <v>0</v>
      </c>
      <c r="BD6" s="556" t="e">
        <f>SUM(BC6/BB6*100)</f>
        <v>#DIV/0!</v>
      </c>
      <c r="BE6" s="545">
        <f>SUM('Ф1'!BY6)+'Ф2'!CC6+'Ф3'!CF6</f>
        <v>0</v>
      </c>
      <c r="BF6" s="647"/>
      <c r="BG6" s="703" t="e">
        <f aca="true" t="shared" si="2" ref="BG6:BG26">(BF6/BE6)*100</f>
        <v>#DIV/0!</v>
      </c>
      <c r="BH6" s="545">
        <f>'Ф3'!CC6</f>
        <v>0</v>
      </c>
      <c r="BI6" s="554">
        <f>'Ф3'!CD6</f>
        <v>0</v>
      </c>
      <c r="BJ6" s="587" t="e">
        <f>BI6/BH6*100</f>
        <v>#DIV/0!</v>
      </c>
      <c r="BK6" s="546">
        <f>C6+F6+I6+L6+R6+U6+X6+AD6+AG6+AJ6+AM6+AP6+AS6+AV6+AY6+O6+BH6</f>
        <v>667.73061</v>
      </c>
      <c r="BL6" s="558">
        <f>D6+G6+J6+M6+P6+V6+Y6+AE6+AH6+AK6+AN6+AQ6+AT6+AW6+AZ6+S6+BI6+AB6</f>
        <v>131.17286</v>
      </c>
      <c r="BM6" s="548">
        <f aca="true" t="shared" si="3" ref="BM6:BM27">(BL6/BK6)*100</f>
        <v>19.64457792342334</v>
      </c>
      <c r="BN6" s="197"/>
      <c r="BO6" s="198"/>
    </row>
    <row r="7" spans="1:67" ht="31.5" customHeight="1">
      <c r="A7" s="505" t="s">
        <v>3</v>
      </c>
      <c r="B7" s="559" t="s">
        <v>148</v>
      </c>
      <c r="C7" s="542">
        <f>SUM('Ф1'!C7)+'Ф2'!C7+'Ф3'!C7</f>
        <v>0</v>
      </c>
      <c r="D7" s="543">
        <f>SUM('Ф1'!D7)+'Ф2'!D7+'Ф3'!D7</f>
        <v>0</v>
      </c>
      <c r="E7" s="544"/>
      <c r="F7" s="543">
        <f>SUM('Ф1'!F7)+'Ф2'!F7+'Ф3'!F7</f>
        <v>225</v>
      </c>
      <c r="G7" s="543">
        <f>SUM('Ф1'!G7)+'Ф2'!G7+'Ф3'!G7</f>
        <v>37.91435</v>
      </c>
      <c r="H7" s="544">
        <f t="shared" si="0"/>
        <v>16.850822222222224</v>
      </c>
      <c r="I7" s="542">
        <f>SUM('Ф1'!I7)+'Ф2'!I7+'Ф3'!I7</f>
        <v>0</v>
      </c>
      <c r="J7" s="543">
        <f>SUM('Ф1'!J7)+'Ф2'!J7+'Ф3'!J7</f>
        <v>0</v>
      </c>
      <c r="K7" s="547"/>
      <c r="L7" s="542">
        <f>SUM('Ф1'!L7)+'Ф2'!L7+'Ф3'!L7</f>
        <v>0</v>
      </c>
      <c r="M7" s="543">
        <f>SUM('Ф1'!M7)+'Ф2'!M7+'Ф3'!M7</f>
        <v>0</v>
      </c>
      <c r="N7" s="551"/>
      <c r="O7" s="542">
        <f>SUM('Ф1'!AB7)+'Ф2'!AD7+'Ф3'!AB7</f>
        <v>0</v>
      </c>
      <c r="P7" s="543">
        <f>SUM('Ф1'!AC7)+'Ф2'!AE7+'Ф3'!AC7</f>
        <v>10.46028</v>
      </c>
      <c r="Q7" s="792" t="e">
        <f>(P7/O7)*100</f>
        <v>#DIV/0!</v>
      </c>
      <c r="R7" s="543">
        <f>'Ф3'!AN7</f>
        <v>0</v>
      </c>
      <c r="S7" s="549">
        <f>'Ф3'!AO7</f>
        <v>0</v>
      </c>
      <c r="T7" s="552" t="e">
        <f aca="true" t="shared" si="4" ref="T7:T24">(S7/R7)*100</f>
        <v>#DIV/0!</v>
      </c>
      <c r="U7" s="542">
        <f>SUM('Ф1'!AN7)+'Ф2'!AP7+'Ф3'!AQ7</f>
        <v>0</v>
      </c>
      <c r="V7" s="561">
        <f>SUM('Ф1'!AO7)+'Ф2'!AQ7+'Ф3'!AR7</f>
        <v>0</v>
      </c>
      <c r="W7" s="552" t="e">
        <f>(V7/U7)*100</f>
        <v>#DIV/0!</v>
      </c>
      <c r="X7" s="542"/>
      <c r="Y7" s="543"/>
      <c r="Z7" s="553"/>
      <c r="AA7" s="560">
        <f>'Ф2'!AW7</f>
        <v>0</v>
      </c>
      <c r="AB7" s="561">
        <f>'Ф2'!AX7</f>
        <v>1.62871</v>
      </c>
      <c r="AC7" s="562" t="e">
        <f>AB7/AA7*100</f>
        <v>#DIV/0!</v>
      </c>
      <c r="AD7" s="543"/>
      <c r="AE7" s="543"/>
      <c r="AF7" s="544"/>
      <c r="AG7" s="542">
        <f>SUM('Ф1'!BB7)+'Ф2'!BC7+'Ф3'!BF7</f>
        <v>0</v>
      </c>
      <c r="AH7" s="543">
        <f>SUM('Ф1'!BC7)+'Ф2'!BD7+'Ф3'!BG7</f>
        <v>0</v>
      </c>
      <c r="AI7" s="553"/>
      <c r="AJ7" s="560">
        <f>SUM('Ф1'!BE7)+'Ф2'!BF7+'Ф3'!BI7</f>
        <v>114.32635</v>
      </c>
      <c r="AK7" s="561">
        <f>SUM('Ф1'!BF7)+'Ф2'!BG7+'Ф3'!BJ7</f>
        <v>32.2734</v>
      </c>
      <c r="AL7" s="544">
        <f>(AK7/AJ7)*100</f>
        <v>28.229187759427287</v>
      </c>
      <c r="AM7" s="633">
        <f>SUM('Ф1'!BI7)+'Ф2'!BJ7+'Ф3'!BM7</f>
        <v>0</v>
      </c>
      <c r="AN7" s="634">
        <f>SUM('Ф1'!BJ7)+'Ф2'!BK7+'Ф3'!BN7</f>
        <v>0</v>
      </c>
      <c r="AO7" s="551"/>
      <c r="AP7" s="542">
        <f>SUM('Ф1'!BL7)+'Ф2'!BM7+'Ф3'!BP7</f>
        <v>1.05232</v>
      </c>
      <c r="AQ7" s="543">
        <f>SUM('Ф1'!BM7)+'Ф2'!BN7+'Ф3'!BQ7</f>
        <v>0</v>
      </c>
      <c r="AR7" s="544">
        <f t="shared" si="1"/>
        <v>0</v>
      </c>
      <c r="AS7" s="560">
        <f>SUM('Ф1'!BO7)+'Ф2'!BP7+'Ф3'!BS7</f>
        <v>3.07449</v>
      </c>
      <c r="AT7" s="561">
        <f>SUM('Ф1'!BP7)+'Ф2'!BQ7+'Ф3'!BT7</f>
        <v>0</v>
      </c>
      <c r="AU7" s="544">
        <f>SUM(AT7/AS7*100)</f>
        <v>0</v>
      </c>
      <c r="AV7" s="543">
        <f>SUM('Ф1'!BR7)+'Ф2'!BS7+'Ф3'!BV7</f>
        <v>0</v>
      </c>
      <c r="AW7" s="543">
        <f>SUM('Ф1'!BS7)+'Ф2'!BT7+'Ф3'!BW7</f>
        <v>0</v>
      </c>
      <c r="AX7" s="544"/>
      <c r="AY7" s="542">
        <f>SUM('Ф1'!BV7)+'Ф2'!BZ7+'Ф3'!BZ7</f>
        <v>0</v>
      </c>
      <c r="AZ7" s="543">
        <f>SUM('Ф1'!BW7)+'Ф2'!CA7+'Ф3'!CA7</f>
        <v>0</v>
      </c>
      <c r="BA7" s="544"/>
      <c r="BB7" s="560">
        <f>'Ф3'!CI7</f>
        <v>0</v>
      </c>
      <c r="BC7" s="561">
        <f>'Ф3'!CJ7</f>
        <v>0</v>
      </c>
      <c r="BD7" s="562" t="e">
        <f aca="true" t="shared" si="5" ref="BD7:BD24">SUM(BC7/BB7*100)</f>
        <v>#DIV/0!</v>
      </c>
      <c r="BE7" s="542">
        <f>SUM('Ф1'!BY7)+'Ф2'!CC7+'Ф3'!CF7</f>
        <v>0</v>
      </c>
      <c r="BF7" s="557"/>
      <c r="BG7" s="555" t="e">
        <f t="shared" si="2"/>
        <v>#DIV/0!</v>
      </c>
      <c r="BH7" s="560">
        <f>'Ф3'!CC7</f>
        <v>0</v>
      </c>
      <c r="BI7" s="561">
        <f>'Ф3'!CD7</f>
        <v>0</v>
      </c>
      <c r="BJ7" s="551"/>
      <c r="BK7" s="563">
        <f>C7+F7+I7+L7+R7+U7+X7+AD7+AG7+AJ7+AM7+AP7+AS7+AV7+AY7+O7</f>
        <v>343.45316</v>
      </c>
      <c r="BL7" s="561">
        <f>D7+G7+J7+M7+P7+V7+Y7+AE7+AH7+AK7+AN7+AQ7+AT7+AW7+AZ7+S7+AB7</f>
        <v>82.27674</v>
      </c>
      <c r="BM7" s="544">
        <f t="shared" si="3"/>
        <v>23.95573824389911</v>
      </c>
      <c r="BN7" s="197"/>
      <c r="BO7" s="198"/>
    </row>
    <row r="8" spans="1:67" ht="31.5" customHeight="1">
      <c r="A8" s="505" t="s">
        <v>5</v>
      </c>
      <c r="B8" s="564" t="s">
        <v>149</v>
      </c>
      <c r="C8" s="542">
        <f>SUM('Ф1'!C8)+'Ф2'!C8+'Ф3'!C8</f>
        <v>0</v>
      </c>
      <c r="D8" s="543">
        <f>SUM('Ф1'!D8)+'Ф2'!D8+'Ф3'!D8</f>
        <v>0</v>
      </c>
      <c r="E8" s="552" t="e">
        <f>(D8/C8)*100</f>
        <v>#DIV/0!</v>
      </c>
      <c r="F8" s="543">
        <f>SUM('Ф1'!F8)+'Ф2'!F8+'Ф3'!F8</f>
        <v>0</v>
      </c>
      <c r="G8" s="543">
        <f>SUM('Ф1'!G8)+'Ф2'!G8+'Ф3'!G8</f>
        <v>0</v>
      </c>
      <c r="H8" s="552" t="e">
        <f t="shared" si="0"/>
        <v>#DIV/0!</v>
      </c>
      <c r="I8" s="542">
        <f>SUM('Ф1'!I8)+'Ф2'!I8+'Ф3'!I8</f>
        <v>0</v>
      </c>
      <c r="J8" s="543">
        <f>SUM('Ф1'!J8)+'Ф2'!J8+'Ф3'!J8</f>
        <v>0</v>
      </c>
      <c r="K8" s="547"/>
      <c r="L8" s="542">
        <f>SUM('Ф1'!L8)+'Ф2'!L8+'Ф3'!L8</f>
        <v>0</v>
      </c>
      <c r="M8" s="543">
        <f>SUM('Ф1'!M8)+'Ф2'!M8+'Ф3'!M8</f>
        <v>0</v>
      </c>
      <c r="N8" s="551"/>
      <c r="O8" s="542">
        <f>SUM('Ф1'!AB8)+'Ф2'!AD8+'Ф3'!AB8</f>
        <v>0</v>
      </c>
      <c r="P8" s="543">
        <f>SUM('Ф1'!AC8)+'Ф2'!AE8+'Ф3'!AC8</f>
        <v>0</v>
      </c>
      <c r="Q8" s="552" t="e">
        <f>(P8/O8)*100</f>
        <v>#DIV/0!</v>
      </c>
      <c r="R8" s="542">
        <f>'Ф3'!AN8</f>
        <v>0</v>
      </c>
      <c r="S8" s="549">
        <f>'Ф3'!AO8</f>
        <v>0</v>
      </c>
      <c r="T8" s="552" t="e">
        <f t="shared" si="4"/>
        <v>#DIV/0!</v>
      </c>
      <c r="U8" s="542">
        <f>SUM('Ф1'!AN8)+'Ф2'!AP8+'Ф3'!AQ8</f>
        <v>0</v>
      </c>
      <c r="V8" s="549">
        <f>SUM('Ф1'!AO8)+'Ф2'!AQ8+'Ф3'!AR8</f>
        <v>0</v>
      </c>
      <c r="W8" s="552" t="e">
        <f>(V8/U8)*100</f>
        <v>#DIV/0!</v>
      </c>
      <c r="X8" s="542"/>
      <c r="Y8" s="543"/>
      <c r="Z8" s="553"/>
      <c r="AA8" s="560">
        <f>'Ф2'!AW8</f>
        <v>0</v>
      </c>
      <c r="AB8" s="561">
        <f>'Ф2'!AX8</f>
        <v>0</v>
      </c>
      <c r="AC8" s="562" t="e">
        <f>AB8/AA8*100</f>
        <v>#DIV/0!</v>
      </c>
      <c r="AD8" s="543"/>
      <c r="AE8" s="543"/>
      <c r="AF8" s="544"/>
      <c r="AG8" s="542">
        <f>SUM('Ф1'!BB8)+'Ф2'!BC8+'Ф3'!BF8</f>
        <v>0</v>
      </c>
      <c r="AH8" s="543">
        <f>SUM('Ф1'!BC8)+'Ф2'!BD8+'Ф3'!BG8</f>
        <v>0</v>
      </c>
      <c r="AI8" s="553"/>
      <c r="AJ8" s="560">
        <f>SUM('Ф1'!BE8)+'Ф2'!BF8+'Ф3'!BI8</f>
        <v>0</v>
      </c>
      <c r="AK8" s="561">
        <f>SUM('Ф1'!BF8)+'Ф2'!BG8+'Ф3'!BJ8</f>
        <v>0</v>
      </c>
      <c r="AL8" s="552" t="e">
        <f>(AK8/AJ8)*100</f>
        <v>#DIV/0!</v>
      </c>
      <c r="AM8" s="633">
        <f>SUM('Ф1'!BI8)+'Ф2'!BJ8+'Ф3'!BM8</f>
        <v>0</v>
      </c>
      <c r="AN8" s="634">
        <f>SUM('Ф1'!BJ8)+'Ф2'!BK8+'Ф3'!BN8</f>
        <v>0</v>
      </c>
      <c r="AO8" s="544"/>
      <c r="AP8" s="560">
        <f>SUM('Ф1'!BL8)+'Ф2'!BM8+'Ф3'!BP8</f>
        <v>427.7</v>
      </c>
      <c r="AQ8" s="565">
        <f>SUM('Ф1'!BM8)+'Ф2'!BN8+'Ф3'!BQ8</f>
        <v>426.82118</v>
      </c>
      <c r="AR8" s="551">
        <f t="shared" si="1"/>
        <v>99.79452419920506</v>
      </c>
      <c r="AS8" s="560">
        <f>SUM('Ф1'!BO8)+'Ф2'!BP8+'Ф3'!BS8</f>
        <v>5.93028</v>
      </c>
      <c r="AT8" s="561">
        <f>SUM('Ф1'!BP8)+'Ф2'!BQ8+'Ф3'!BT8</f>
        <v>4.8</v>
      </c>
      <c r="AU8" s="551">
        <f>SUM(AT8/AS8*100)</f>
        <v>80.94052894635666</v>
      </c>
      <c r="AV8" s="543">
        <f>SUM('Ф1'!BR8)+'Ф2'!BS8+'Ф3'!BV8</f>
        <v>0</v>
      </c>
      <c r="AW8" s="543">
        <f>SUM('Ф1'!BS8)+'Ф2'!BT8+'Ф3'!BW8</f>
        <v>0</v>
      </c>
      <c r="AX8" s="544"/>
      <c r="AY8" s="542">
        <f>SUM('Ф1'!BV8)+'Ф2'!BZ8+'Ф3'!BZ8</f>
        <v>0</v>
      </c>
      <c r="AZ8" s="543">
        <f>SUM('Ф1'!BW8)+'Ф2'!CA8+'Ф3'!CA8</f>
        <v>0</v>
      </c>
      <c r="BA8" s="544"/>
      <c r="BB8" s="560">
        <f>'Ф3'!CI8</f>
        <v>0</v>
      </c>
      <c r="BC8" s="561">
        <f>'Ф3'!CJ8</f>
        <v>0</v>
      </c>
      <c r="BD8" s="562"/>
      <c r="BE8" s="542">
        <f>SUM('Ф1'!BY8)+'Ф2'!CC8+'Ф3'!CF8</f>
        <v>0</v>
      </c>
      <c r="BF8" s="557"/>
      <c r="BG8" s="555" t="e">
        <f t="shared" si="2"/>
        <v>#DIV/0!</v>
      </c>
      <c r="BH8" s="560">
        <f>'Ф3'!CC8</f>
        <v>0</v>
      </c>
      <c r="BI8" s="561">
        <f>'Ф3'!CD8</f>
        <v>0</v>
      </c>
      <c r="BJ8" s="551"/>
      <c r="BK8" s="563">
        <f>C8+F8+I8+L8+R8+U8+X8+AD8+AG8+AJ8+AM8+AP8+AS8+AV8+AY8+O8</f>
        <v>433.63027999999997</v>
      </c>
      <c r="BL8" s="561">
        <f>D8+G8+J8+M8+P8+V8+Y8+AE8+AH8+AK8+AN8+AQ8+AT8+AW8+AZ8+S8</f>
        <v>431.62118000000004</v>
      </c>
      <c r="BM8" s="544">
        <f t="shared" si="3"/>
        <v>99.53667903449917</v>
      </c>
      <c r="BN8" s="197"/>
      <c r="BO8" s="198"/>
    </row>
    <row r="9" spans="1:67" ht="31.5" customHeight="1">
      <c r="A9" s="505" t="s">
        <v>7</v>
      </c>
      <c r="B9" s="564" t="s">
        <v>150</v>
      </c>
      <c r="C9" s="542">
        <f>SUM('Ф1'!C9)+'Ф2'!C9+'Ф3'!C9</f>
        <v>3.56486</v>
      </c>
      <c r="D9" s="543">
        <f>SUM('Ф1'!D9)+'Ф2'!D9+'Ф3'!D9</f>
        <v>3.332</v>
      </c>
      <c r="E9" s="544">
        <f>(D9/C9)*100</f>
        <v>93.46790617303344</v>
      </c>
      <c r="F9" s="543">
        <f>SUM('Ф1'!F9)+'Ф2'!F9+'Ф3'!F9</f>
        <v>40</v>
      </c>
      <c r="G9" s="543">
        <f>SUM('Ф1'!G9)+'Ф2'!G9+'Ф3'!G9</f>
        <v>16.06212</v>
      </c>
      <c r="H9" s="544">
        <f t="shared" si="0"/>
        <v>40.1553</v>
      </c>
      <c r="I9" s="542">
        <f>SUM('Ф1'!I9)+'Ф2'!I9+'Ф3'!I9</f>
        <v>6</v>
      </c>
      <c r="J9" s="543">
        <f>SUM('Ф1'!J9)+'Ф2'!J9+'Ф3'!J9</f>
        <v>4.4</v>
      </c>
      <c r="K9" s="553">
        <f>J9/I9*100</f>
        <v>73.33333333333334</v>
      </c>
      <c r="L9" s="542">
        <f>SUM('Ф1'!L9)+'Ф2'!L9+'Ф3'!L9</f>
        <v>0</v>
      </c>
      <c r="M9" s="543">
        <f>SUM('Ф1'!M9)+'Ф2'!M9+'Ф3'!M9</f>
        <v>0</v>
      </c>
      <c r="N9" s="551"/>
      <c r="O9" s="542">
        <f>SUM('Ф1'!AB9)+'Ф2'!AD9+'Ф3'!AB9</f>
        <v>27</v>
      </c>
      <c r="P9" s="543">
        <f>SUM('Ф1'!AC9)+'Ф2'!AE9+'Ф3'!AC9</f>
        <v>0</v>
      </c>
      <c r="Q9" s="544">
        <f aca="true" t="shared" si="6" ref="Q9:Q22">(P9/O9)*100</f>
        <v>0</v>
      </c>
      <c r="R9" s="542">
        <f>'Ф3'!AN9</f>
        <v>0</v>
      </c>
      <c r="S9" s="549">
        <f>'Ф3'!AO9</f>
        <v>0</v>
      </c>
      <c r="T9" s="552" t="e">
        <f t="shared" si="4"/>
        <v>#DIV/0!</v>
      </c>
      <c r="U9" s="542">
        <f>SUM('Ф1'!AN9)+'Ф2'!AP9+'Ф3'!AQ9</f>
        <v>10</v>
      </c>
      <c r="V9" s="549">
        <f>SUM('Ф1'!AO9)+'Ф2'!AQ9+'Ф3'!AR9</f>
        <v>8.68</v>
      </c>
      <c r="W9" s="544">
        <f>V9/U9*100</f>
        <v>86.8</v>
      </c>
      <c r="X9" s="542"/>
      <c r="Y9" s="543"/>
      <c r="Z9" s="553"/>
      <c r="AA9" s="560">
        <f>'Ф2'!AW9</f>
        <v>0</v>
      </c>
      <c r="AB9" s="561">
        <f>'Ф2'!AX9</f>
        <v>0</v>
      </c>
      <c r="AC9" s="562" t="e">
        <f>AB9/AA9*100</f>
        <v>#DIV/0!</v>
      </c>
      <c r="AD9" s="543"/>
      <c r="AE9" s="543"/>
      <c r="AF9" s="544"/>
      <c r="AG9" s="542">
        <f>SUM('Ф1'!BB9)+'Ф2'!BC9+'Ф3'!BF9</f>
        <v>0</v>
      </c>
      <c r="AH9" s="543">
        <f>SUM('Ф1'!BC9)+'Ф2'!BD9+'Ф3'!BG9</f>
        <v>0</v>
      </c>
      <c r="AI9" s="553"/>
      <c r="AJ9" s="560">
        <f>SUM('Ф1'!BE9)+'Ф2'!BF9+'Ф3'!BI9</f>
        <v>64</v>
      </c>
      <c r="AK9" s="561">
        <f>SUM('Ф1'!BF9)+'Ф2'!BG9+'Ф3'!BJ9</f>
        <v>0</v>
      </c>
      <c r="AL9" s="544">
        <f>(AK9/AJ9)*100</f>
        <v>0</v>
      </c>
      <c r="AM9" s="633">
        <f>SUM('Ф1'!BI9)+'Ф2'!BJ9+'Ф3'!BM9</f>
        <v>0</v>
      </c>
      <c r="AN9" s="634">
        <f>SUM('Ф1'!BJ9)+'Ф2'!BK9+'Ф3'!BN9</f>
        <v>0</v>
      </c>
      <c r="AO9" s="544"/>
      <c r="AP9" s="542">
        <f>SUM('Ф1'!BL9)+'Ф2'!BM9+'Ф3'!BP9</f>
        <v>0</v>
      </c>
      <c r="AQ9" s="543">
        <f>SUM('Ф1'!BM9)+'Ф2'!BN9+'Ф3'!BQ9</f>
        <v>0</v>
      </c>
      <c r="AR9" s="552" t="e">
        <f t="shared" si="1"/>
        <v>#DIV/0!</v>
      </c>
      <c r="AS9" s="560">
        <f>SUM('Ф1'!BO9)+'Ф2'!BP9+'Ф3'!BS9</f>
        <v>5.32808</v>
      </c>
      <c r="AT9" s="561">
        <f>SUM('Ф1'!BP9)+'Ф2'!BQ9+'Ф3'!BT9</f>
        <v>0</v>
      </c>
      <c r="AU9" s="551">
        <f>SUM(AT9/AS9*100)</f>
        <v>0</v>
      </c>
      <c r="AV9" s="543">
        <f>SUM('Ф1'!BR9)+'Ф2'!BS9+'Ф3'!BV9</f>
        <v>0</v>
      </c>
      <c r="AW9" s="543">
        <f>SUM('Ф1'!BS9)+'Ф2'!BT9+'Ф3'!BW9</f>
        <v>0</v>
      </c>
      <c r="AX9" s="544"/>
      <c r="AY9" s="542">
        <f>SUM('Ф1'!BV9)+'Ф2'!BZ9+'Ф3'!BZ9</f>
        <v>0</v>
      </c>
      <c r="AZ9" s="543">
        <f>SUM('Ф1'!BW9)+'Ф2'!CA9+'Ф3'!CA9</f>
        <v>0</v>
      </c>
      <c r="BA9" s="544"/>
      <c r="BB9" s="560">
        <f>'Ф3'!CI9</f>
        <v>0</v>
      </c>
      <c r="BC9" s="561">
        <f>'Ф3'!CJ9</f>
        <v>0</v>
      </c>
      <c r="BD9" s="562" t="e">
        <f t="shared" si="5"/>
        <v>#DIV/0!</v>
      </c>
      <c r="BE9" s="542">
        <f>SUM('Ф1'!BY9)+'Ф2'!CC9+'Ф3'!CF9</f>
        <v>0</v>
      </c>
      <c r="BF9" s="557"/>
      <c r="BG9" s="555" t="e">
        <f t="shared" si="2"/>
        <v>#DIV/0!</v>
      </c>
      <c r="BH9" s="560">
        <f>'Ф3'!CC9</f>
        <v>0</v>
      </c>
      <c r="BI9" s="561">
        <f>'Ф3'!CD9</f>
        <v>0</v>
      </c>
      <c r="BJ9" s="551"/>
      <c r="BK9" s="563">
        <f>C9+F9+I9+L9+R9+U9+X9+AD9+AG9+AJ9+AM9+AP9+AS9+AV9+AY9+O9</f>
        <v>155.89294</v>
      </c>
      <c r="BL9" s="561">
        <f>D9+G9+J9+M9+P9+V9+Y9+AE9+AH9+AK9+AN9+AQ9+AT9+AW9+AZ9+S9</f>
        <v>32.47412</v>
      </c>
      <c r="BM9" s="551">
        <f t="shared" si="3"/>
        <v>20.831039558302</v>
      </c>
      <c r="BN9" s="197"/>
      <c r="BO9" s="198"/>
    </row>
    <row r="10" spans="1:68" ht="29.25" customHeight="1">
      <c r="A10" s="505" t="s">
        <v>9</v>
      </c>
      <c r="B10" s="559" t="s">
        <v>151</v>
      </c>
      <c r="C10" s="542">
        <f>SUM('Ф1'!C10)+'Ф2'!C10+'Ф3'!C10</f>
        <v>6.50395</v>
      </c>
      <c r="D10" s="543">
        <f>SUM('Ф1'!D10)+'Ф2'!D10+'Ф3'!D10</f>
        <v>6.43114</v>
      </c>
      <c r="E10" s="544">
        <f>(D10/C10)*100</f>
        <v>98.88052644931157</v>
      </c>
      <c r="F10" s="543">
        <f>SUM('Ф1'!F10)+'Ф2'!F10+'Ф3'!F10</f>
        <v>180</v>
      </c>
      <c r="G10" s="543">
        <f>SUM('Ф1'!G10)+'Ф2'!G10+'Ф3'!G10</f>
        <v>53.42147</v>
      </c>
      <c r="H10" s="544">
        <f t="shared" si="0"/>
        <v>29.678594444444446</v>
      </c>
      <c r="I10" s="542">
        <f>SUM('Ф1'!I10)+'Ф2'!I10+'Ф3'!I10</f>
        <v>0</v>
      </c>
      <c r="J10" s="543">
        <f>SUM('Ф1'!J10)+'Ф2'!J10+'Ф3'!J10</f>
        <v>0</v>
      </c>
      <c r="K10" s="553"/>
      <c r="L10" s="542">
        <f>SUM('Ф1'!L10)+'Ф2'!L10+'Ф3'!L10</f>
        <v>0</v>
      </c>
      <c r="M10" s="543">
        <f>SUM('Ф1'!M10)+'Ф2'!M10+'Ф3'!M10</f>
        <v>0</v>
      </c>
      <c r="N10" s="551"/>
      <c r="O10" s="542">
        <f>SUM('Ф1'!AB10)+'Ф2'!AD10+'Ф3'!AB10</f>
        <v>0</v>
      </c>
      <c r="P10" s="543">
        <f>SUM('Ф1'!AC10)+'Ф2'!AE10+'Ф3'!AC10</f>
        <v>0</v>
      </c>
      <c r="Q10" s="544"/>
      <c r="R10" s="542">
        <f>'Ф3'!AN10</f>
        <v>0</v>
      </c>
      <c r="S10" s="549">
        <f>'Ф3'!AO10</f>
        <v>0</v>
      </c>
      <c r="T10" s="552" t="e">
        <f>(S10/R10)*100</f>
        <v>#DIV/0!</v>
      </c>
      <c r="U10" s="542">
        <f>SUM('Ф1'!AN10)+'Ф2'!AP10+'Ф3'!AQ10</f>
        <v>8.27</v>
      </c>
      <c r="V10" s="549">
        <f>SUM('Ф1'!AO10)+'Ф2'!AQ10+'Ф3'!AR10</f>
        <v>8.25</v>
      </c>
      <c r="W10" s="544">
        <f>V10/U10*100</f>
        <v>99.75816203143894</v>
      </c>
      <c r="X10" s="542"/>
      <c r="Y10" s="543"/>
      <c r="Z10" s="553"/>
      <c r="AA10" s="560">
        <f>'Ф2'!AW10</f>
        <v>0</v>
      </c>
      <c r="AB10" s="561">
        <f>'Ф2'!AX10</f>
        <v>0</v>
      </c>
      <c r="AC10" s="562" t="e">
        <f aca="true" t="shared" si="7" ref="AC10:AC24">AB10/AA10*100</f>
        <v>#DIV/0!</v>
      </c>
      <c r="AD10" s="543"/>
      <c r="AE10" s="543"/>
      <c r="AF10" s="544"/>
      <c r="AG10" s="542">
        <f>SUM('Ф1'!BB10)+'Ф2'!BC10+'Ф3'!BF10</f>
        <v>20</v>
      </c>
      <c r="AH10" s="543">
        <f>SUM('Ф1'!BC10)+'Ф2'!Z10+'Ф3'!BG10</f>
        <v>30.8832</v>
      </c>
      <c r="AI10" s="553">
        <f>(AH10/AG10)*100</f>
        <v>154.416</v>
      </c>
      <c r="AJ10" s="560">
        <f>SUM('Ф1'!BE10)+'Ф2'!BF10+'Ф3'!BI10</f>
        <v>0</v>
      </c>
      <c r="AK10" s="561">
        <f>SUM('Ф1'!BF10)+'Ф2'!BG10+'Ф3'!BJ10</f>
        <v>0</v>
      </c>
      <c r="AL10" s="544"/>
      <c r="AM10" s="633">
        <f>SUM('Ф1'!BI10)+'Ф2'!BJ10+'Ф3'!BM10</f>
        <v>0</v>
      </c>
      <c r="AN10" s="634">
        <f>SUM('Ф1'!BJ10)+'Ф2'!BK10+'Ф3'!BN10</f>
        <v>0</v>
      </c>
      <c r="AO10" s="544"/>
      <c r="AP10" s="542">
        <f>SUM('Ф1'!BL10)+'Ф2'!BM10+'Ф3'!BP10</f>
        <v>0</v>
      </c>
      <c r="AQ10" s="543">
        <f>SUM('Ф1'!BM10)+'Ф2'!BN10+'Ф3'!BQ10</f>
        <v>0</v>
      </c>
      <c r="AR10" s="562" t="e">
        <f t="shared" si="1"/>
        <v>#DIV/0!</v>
      </c>
      <c r="AS10" s="560">
        <f>SUM('Ф1'!BO10)+'Ф2'!BP10+'Ф3'!BS10</f>
        <v>1.9</v>
      </c>
      <c r="AT10" s="561">
        <f>SUM('Ф1'!BP10)+'Ф2'!BQ10+'Ф3'!BT10</f>
        <v>0</v>
      </c>
      <c r="AU10" s="551">
        <f aca="true" t="shared" si="8" ref="AU10:AU18">SUM(AT10/AS10*100)</f>
        <v>0</v>
      </c>
      <c r="AV10" s="543">
        <f>SUM('Ф1'!BR10)+'Ф2'!BS10+'Ф3'!BV10</f>
        <v>0</v>
      </c>
      <c r="AW10" s="543">
        <f>SUM('Ф1'!BS10)+'Ф2'!BT10+'Ф3'!BW10</f>
        <v>0</v>
      </c>
      <c r="AX10" s="544"/>
      <c r="AY10" s="542">
        <f>SUM('Ф1'!BV10)+'Ф2'!BZ10+'Ф3'!BZ10</f>
        <v>1000</v>
      </c>
      <c r="AZ10" s="543">
        <f>SUM('Ф1'!BW10)+'Ф2'!CA10+'Ф3'!CA10</f>
        <v>0</v>
      </c>
      <c r="BA10" s="544">
        <f>(AZ10/AY10)*100</f>
        <v>0</v>
      </c>
      <c r="BB10" s="560">
        <f>'Ф3'!CI10</f>
        <v>0</v>
      </c>
      <c r="BC10" s="561">
        <f>'Ф3'!CJ10</f>
        <v>0</v>
      </c>
      <c r="BD10" s="562" t="e">
        <f t="shared" si="5"/>
        <v>#DIV/0!</v>
      </c>
      <c r="BE10" s="542">
        <f>SUM('Ф1'!BY10)+'Ф2'!CC10+'Ф3'!CF10</f>
        <v>0</v>
      </c>
      <c r="BF10" s="557"/>
      <c r="BG10" s="555" t="e">
        <f t="shared" si="2"/>
        <v>#DIV/0!</v>
      </c>
      <c r="BH10" s="560">
        <f>'Ф3'!CC10</f>
        <v>0</v>
      </c>
      <c r="BI10" s="561">
        <f>'Ф3'!CD10</f>
        <v>0</v>
      </c>
      <c r="BJ10" s="562" t="e">
        <f>BI10/BH10*100</f>
        <v>#DIV/0!</v>
      </c>
      <c r="BK10" s="563">
        <f>C10+F10+I10+L10+R10+U10+X10+AD10+AG10+AJ10+AM10+AP10+AS10+AV10+AY10+O10+BH10</f>
        <v>1216.67395</v>
      </c>
      <c r="BL10" s="561">
        <f>D10+G10+J10+M10+P10+V10+Y10+AE10+AH10+AK10+AN10+AQ10+AT10+AW10+AZ10+S10+BI10+AB10</f>
        <v>98.98581</v>
      </c>
      <c r="BM10" s="551">
        <f t="shared" si="3"/>
        <v>8.13577129682114</v>
      </c>
      <c r="BN10" s="222"/>
      <c r="BO10" s="198"/>
      <c r="BP10" s="175"/>
    </row>
    <row r="11" spans="1:68" ht="31.5" customHeight="1">
      <c r="A11" s="505" t="s">
        <v>11</v>
      </c>
      <c r="B11" s="559" t="s">
        <v>152</v>
      </c>
      <c r="C11" s="542">
        <f>SUM('Ф1'!C11)+'Ф2'!C11+'Ф3'!C11</f>
        <v>0</v>
      </c>
      <c r="D11" s="543">
        <f>SUM('Ф1'!D11)+'Ф2'!D11+'Ф3'!D11</f>
        <v>0</v>
      </c>
      <c r="E11" s="544">
        <v>0</v>
      </c>
      <c r="F11" s="543">
        <f>SUM('Ф1'!F11)+'Ф2'!F11+'Ф3'!F11</f>
        <v>150</v>
      </c>
      <c r="G11" s="543">
        <f>SUM('Ф1'!G11)+'Ф2'!G11+'Ф3'!G11</f>
        <v>64.78181</v>
      </c>
      <c r="H11" s="544">
        <f t="shared" si="0"/>
        <v>43.18787333333333</v>
      </c>
      <c r="I11" s="542">
        <f>SUM('Ф1'!I11)+'Ф2'!I11+'Ф3'!I11</f>
        <v>0</v>
      </c>
      <c r="J11" s="543">
        <f>SUM('Ф1'!J11)+'Ф2'!J11+'Ф3'!J11</f>
        <v>0</v>
      </c>
      <c r="K11" s="553"/>
      <c r="L11" s="542">
        <f>SUM('Ф1'!L11)+'Ф2'!L11+'Ф3'!L11</f>
        <v>0</v>
      </c>
      <c r="M11" s="543">
        <f>SUM('Ф1'!M11)+'Ф2'!M11+'Ф3'!M11</f>
        <v>0</v>
      </c>
      <c r="N11" s="551"/>
      <c r="O11" s="542">
        <f>SUM('Ф1'!AB11)+'Ф2'!AD11+'Ф3'!AB11</f>
        <v>0</v>
      </c>
      <c r="P11" s="543">
        <f>SUM('Ф1'!AC11)+'Ф2'!AE11+'Ф3'!AC11</f>
        <v>0</v>
      </c>
      <c r="Q11" s="544"/>
      <c r="R11" s="542">
        <f>'Ф3'!AN11</f>
        <v>146</v>
      </c>
      <c r="S11" s="549">
        <f>'Ф3'!AO11</f>
        <v>0</v>
      </c>
      <c r="T11" s="544">
        <f>(S11/R11)*100</f>
        <v>0</v>
      </c>
      <c r="U11" s="542">
        <f>SUM('Ф1'!AN11)+'Ф2'!AP11+'Ф3'!AQ11</f>
        <v>0.868</v>
      </c>
      <c r="V11" s="549">
        <f>SUM('Ф1'!AO11)+'Ф2'!AQ11+'Ф3'!AR11</f>
        <v>0</v>
      </c>
      <c r="W11" s="544">
        <f aca="true" t="shared" si="9" ref="W11:W24">V11/U11</f>
        <v>0</v>
      </c>
      <c r="X11" s="542"/>
      <c r="Y11" s="543"/>
      <c r="Z11" s="553"/>
      <c r="AA11" s="560">
        <f>'Ф2'!AW11</f>
        <v>0</v>
      </c>
      <c r="AB11" s="561">
        <f>'Ф2'!AX11</f>
        <v>0</v>
      </c>
      <c r="AC11" s="562" t="e">
        <f t="shared" si="7"/>
        <v>#DIV/0!</v>
      </c>
      <c r="AD11" s="543"/>
      <c r="AE11" s="543"/>
      <c r="AF11" s="544"/>
      <c r="AG11" s="542">
        <f>SUM('Ф1'!BB11)+'Ф2'!BC11+'Ф3'!BF11</f>
        <v>0</v>
      </c>
      <c r="AH11" s="543">
        <f>SUM('Ф1'!BC11)+'Ф2'!BD11+'Ф3'!BG11</f>
        <v>0</v>
      </c>
      <c r="AI11" s="553"/>
      <c r="AJ11" s="560">
        <f>SUM('Ф1'!BE11)+'Ф2'!BF11+'Ф3'!BI11</f>
        <v>106.315</v>
      </c>
      <c r="AK11" s="561">
        <f>SUM('Ф1'!BF11)+'Ф2'!BG11+'Ф3'!BJ11</f>
        <v>0</v>
      </c>
      <c r="AL11" s="544">
        <f>(AK11/AJ11)*100</f>
        <v>0</v>
      </c>
      <c r="AM11" s="633">
        <f>SUM('Ф1'!BI11)+'Ф2'!BJ11+'Ф3'!BM11</f>
        <v>0</v>
      </c>
      <c r="AN11" s="634">
        <f>SUM('Ф1'!BJ11)+'Ф2'!BK11+'Ф3'!BN11</f>
        <v>0</v>
      </c>
      <c r="AO11" s="544"/>
      <c r="AP11" s="542">
        <f>SUM('Ф1'!BL11)+'Ф2'!BM11+'Ф3'!BP11</f>
        <v>0</v>
      </c>
      <c r="AQ11" s="543">
        <f>SUM('Ф1'!BM11)+'Ф2'!BN11+'Ф3'!BQ11</f>
        <v>0</v>
      </c>
      <c r="AR11" s="562" t="e">
        <f t="shared" si="1"/>
        <v>#DIV/0!</v>
      </c>
      <c r="AS11" s="560">
        <f>SUM('Ф1'!BO11)+'Ф2'!BP11+'Ф3'!BS11</f>
        <v>1.1</v>
      </c>
      <c r="AT11" s="561">
        <f>SUM('Ф1'!BP11)+'Ф2'!BQ11+'Ф3'!BT11</f>
        <v>0</v>
      </c>
      <c r="AU11" s="551">
        <f t="shared" si="8"/>
        <v>0</v>
      </c>
      <c r="AV11" s="543">
        <f>SUM('Ф1'!BR11)+'Ф2'!BS11+'Ф3'!BV11</f>
        <v>0</v>
      </c>
      <c r="AW11" s="543">
        <f>SUM('Ф1'!BS11)+'Ф2'!BT11+'Ф3'!BW11</f>
        <v>0</v>
      </c>
      <c r="AX11" s="544"/>
      <c r="AY11" s="542">
        <f>SUM('Ф1'!BV11)+'Ф2'!BZ11+'Ф3'!BZ11</f>
        <v>0</v>
      </c>
      <c r="AZ11" s="543">
        <f>SUM('Ф1'!BW11)+'Ф2'!CA11+'Ф3'!CA11</f>
        <v>0</v>
      </c>
      <c r="BA11" s="544"/>
      <c r="BB11" s="560">
        <f>'Ф3'!CI11</f>
        <v>0</v>
      </c>
      <c r="BC11" s="561">
        <f>'Ф3'!CJ11</f>
        <v>0</v>
      </c>
      <c r="BD11" s="562" t="e">
        <f t="shared" si="5"/>
        <v>#DIV/0!</v>
      </c>
      <c r="BE11" s="542">
        <f>SUM('Ф1'!BY11)+'Ф2'!CC11+'Ф3'!CF11</f>
        <v>0</v>
      </c>
      <c r="BF11" s="557"/>
      <c r="BG11" s="555" t="e">
        <f t="shared" si="2"/>
        <v>#DIV/0!</v>
      </c>
      <c r="BH11" s="560">
        <f>'Ф3'!CC11</f>
        <v>0</v>
      </c>
      <c r="BI11" s="561">
        <f>'Ф3'!CD11</f>
        <v>0</v>
      </c>
      <c r="BJ11" s="551"/>
      <c r="BK11" s="563">
        <f>C11+F11+I11+L11+R11+U11+X11+AD11+AG11+AJ11+AM11+AP11+AS11+AV11+AY11+O11</f>
        <v>404.283</v>
      </c>
      <c r="BL11" s="561">
        <f>D11+G11+J11+M11+P11+V11+Y11+AE11+AH11+AK11+AN11+AQ11+AT11+AW11+AZ11+S11+AB11</f>
        <v>64.78181</v>
      </c>
      <c r="BM11" s="551">
        <f t="shared" si="3"/>
        <v>16.02387683874909</v>
      </c>
      <c r="BN11" s="197"/>
      <c r="BO11" s="198"/>
      <c r="BP11" s="194"/>
    </row>
    <row r="12" spans="1:67" ht="30.75" customHeight="1">
      <c r="A12" s="505" t="s">
        <v>13</v>
      </c>
      <c r="B12" s="564" t="s">
        <v>153</v>
      </c>
      <c r="C12" s="542">
        <f>SUM('Ф1'!C12)+'Ф2'!C12+'Ф3'!C12</f>
        <v>0</v>
      </c>
      <c r="D12" s="543">
        <f>SUM('Ф1'!D12)+'Ф2'!D12+'Ф3'!D12</f>
        <v>0</v>
      </c>
      <c r="E12" s="544">
        <v>0</v>
      </c>
      <c r="F12" s="543">
        <f>SUM('Ф1'!F12)+'Ф2'!F12+'Ф3'!F12</f>
        <v>80</v>
      </c>
      <c r="G12" s="543">
        <f>SUM('Ф1'!G12)+'Ф2'!G12+'Ф3'!G12</f>
        <v>41.05679</v>
      </c>
      <c r="H12" s="544">
        <f t="shared" si="0"/>
        <v>51.3209875</v>
      </c>
      <c r="I12" s="542">
        <f>SUM('Ф1'!I12)+'Ф2'!I12+'Ф3'!I12</f>
        <v>0</v>
      </c>
      <c r="J12" s="543">
        <f>SUM('Ф1'!J12)+'Ф2'!J12+'Ф3'!J12</f>
        <v>0</v>
      </c>
      <c r="K12" s="553"/>
      <c r="L12" s="542">
        <f>SUM('Ф1'!L12)+'Ф2'!L12+'Ф3'!L12</f>
        <v>0</v>
      </c>
      <c r="M12" s="543">
        <f>SUM('Ф1'!M12)+'Ф2'!M12+'Ф3'!M12</f>
        <v>0</v>
      </c>
      <c r="N12" s="551"/>
      <c r="O12" s="542">
        <f>SUM('Ф1'!AB12)+'Ф2'!AD12+'Ф3'!AB12</f>
        <v>200</v>
      </c>
      <c r="P12" s="543">
        <f>SUM('Ф1'!AC12)+'Ф2'!AE12+'Ф3'!AC12</f>
        <v>0</v>
      </c>
      <c r="Q12" s="544">
        <f t="shared" si="6"/>
        <v>0</v>
      </c>
      <c r="R12" s="542">
        <f>'Ф3'!AN12</f>
        <v>0</v>
      </c>
      <c r="S12" s="549">
        <f>'Ф3'!AO12</f>
        <v>0</v>
      </c>
      <c r="T12" s="552"/>
      <c r="U12" s="542">
        <f>SUM('Ф1'!AN12)+'Ф2'!AP12+'Ф3'!AQ12</f>
        <v>0</v>
      </c>
      <c r="V12" s="549">
        <f>SUM('Ф1'!AO12)+'Ф2'!AQ12+'Ф3'!AR12</f>
        <v>0</v>
      </c>
      <c r="W12" s="544"/>
      <c r="X12" s="542"/>
      <c r="Y12" s="543"/>
      <c r="Z12" s="553"/>
      <c r="AA12" s="560">
        <f>'Ф2'!AW12</f>
        <v>0</v>
      </c>
      <c r="AB12" s="561">
        <f>'Ф2'!AX12</f>
        <v>0</v>
      </c>
      <c r="AC12" s="562" t="e">
        <f t="shared" si="7"/>
        <v>#DIV/0!</v>
      </c>
      <c r="AD12" s="543"/>
      <c r="AE12" s="543"/>
      <c r="AF12" s="544"/>
      <c r="AG12" s="542">
        <f>SUM('Ф1'!BB12)+'Ф2'!BC12+'Ф3'!BF12</f>
        <v>0</v>
      </c>
      <c r="AH12" s="543">
        <f>SUM('Ф1'!BC12)+'Ф2'!BD12+'Ф3'!BG12</f>
        <v>0</v>
      </c>
      <c r="AI12" s="553"/>
      <c r="AJ12" s="560">
        <f>SUM('Ф1'!BE12)+'Ф2'!BF12+'Ф3'!BI12</f>
        <v>60</v>
      </c>
      <c r="AK12" s="561">
        <f>SUM('Ф1'!BF12)+'Ф2'!BG12+'Ф3'!BJ12</f>
        <v>0</v>
      </c>
      <c r="AL12" s="544">
        <f>(AK12/AJ12)*100</f>
        <v>0</v>
      </c>
      <c r="AM12" s="633">
        <f>SUM('Ф1'!BI12)+'Ф2'!BJ12+'Ф3'!BM12</f>
        <v>0</v>
      </c>
      <c r="AN12" s="634">
        <f>SUM('Ф1'!BJ12)+'Ф2'!BK12+'Ф3'!BN12</f>
        <v>0</v>
      </c>
      <c r="AO12" s="544"/>
      <c r="AP12" s="542">
        <f>SUM('Ф1'!BL12)+'Ф2'!BM12+'Ф3'!BP12</f>
        <v>0</v>
      </c>
      <c r="AQ12" s="543">
        <f>SUM('Ф1'!BM12)+'Ф2'!BN12+'Ф3'!BQ12</f>
        <v>0</v>
      </c>
      <c r="AR12" s="562" t="e">
        <f t="shared" si="1"/>
        <v>#DIV/0!</v>
      </c>
      <c r="AS12" s="560">
        <f>SUM('Ф1'!BO12)+'Ф2'!BP12+'Ф3'!BS12</f>
        <v>0.2</v>
      </c>
      <c r="AT12" s="561">
        <f>SUM('Ф1'!BP12)+'Ф2'!BQ12+'Ф3'!BT12</f>
        <v>0</v>
      </c>
      <c r="AU12" s="551">
        <f t="shared" si="8"/>
        <v>0</v>
      </c>
      <c r="AV12" s="543">
        <f>SUM('Ф1'!BR12)+'Ф2'!BS12+'Ф3'!BV12</f>
        <v>0</v>
      </c>
      <c r="AW12" s="543">
        <f>SUM('Ф1'!BS12)+'Ф2'!BT12+'Ф3'!BW12</f>
        <v>0</v>
      </c>
      <c r="AX12" s="544"/>
      <c r="AY12" s="542">
        <f>SUM('Ф1'!BV12)+'Ф2'!BZ12+'Ф3'!BZ12</f>
        <v>0</v>
      </c>
      <c r="AZ12" s="543">
        <f>SUM('Ф1'!BW12)+'Ф2'!CA12+'Ф3'!CA12</f>
        <v>0</v>
      </c>
      <c r="BA12" s="544"/>
      <c r="BB12" s="560">
        <f>'Ф3'!CI12</f>
        <v>0</v>
      </c>
      <c r="BC12" s="561">
        <f>'Ф3'!CJ12</f>
        <v>0</v>
      </c>
      <c r="BD12" s="562" t="e">
        <f t="shared" si="5"/>
        <v>#DIV/0!</v>
      </c>
      <c r="BE12" s="542">
        <f>SUM('Ф1'!BY12)+'Ф2'!CC12+'Ф3'!CF12</f>
        <v>0</v>
      </c>
      <c r="BF12" s="557"/>
      <c r="BG12" s="555" t="e">
        <f t="shared" si="2"/>
        <v>#DIV/0!</v>
      </c>
      <c r="BH12" s="560">
        <f>'Ф3'!CC12</f>
        <v>0</v>
      </c>
      <c r="BI12" s="561">
        <f>'Ф3'!CD12</f>
        <v>0</v>
      </c>
      <c r="BJ12" s="551"/>
      <c r="BK12" s="563">
        <f>C12+F12+I12+L12+R12+U12+X12+AD12+AG12+AJ12+AM12+AP12+AS12+AV12+AY12+O12</f>
        <v>340.2</v>
      </c>
      <c r="BL12" s="561">
        <f>D12+G12+J12+M12+P12+V12+Y12+AE12+AH12+AK12+AN12+AQ12+AT12+AW12+AZ12+S12+AB12</f>
        <v>41.05679</v>
      </c>
      <c r="BM12" s="551">
        <f t="shared" si="3"/>
        <v>12.068427395649618</v>
      </c>
      <c r="BN12" s="197"/>
      <c r="BO12" s="198"/>
    </row>
    <row r="13" spans="1:68" ht="29.25" customHeight="1">
      <c r="A13" s="505" t="s">
        <v>15</v>
      </c>
      <c r="B13" s="566" t="s">
        <v>154</v>
      </c>
      <c r="C13" s="542">
        <f>SUM('Ф1'!C13)+'Ф2'!C13+'Ф3'!C13</f>
        <v>63</v>
      </c>
      <c r="D13" s="543">
        <f>SUM('Ф1'!D13)+'Ф2'!D13+'Ф3'!D13</f>
        <v>17.418</v>
      </c>
      <c r="E13" s="544">
        <f>(D13/C13)*100</f>
        <v>27.64761904761905</v>
      </c>
      <c r="F13" s="543">
        <f>SUM('Ф1'!F13)+'Ф2'!F13+'Ф3'!F13</f>
        <v>140</v>
      </c>
      <c r="G13" s="543">
        <f>SUM('Ф1'!G13)+'Ф2'!G13+'Ф3'!G13</f>
        <v>56.4158</v>
      </c>
      <c r="H13" s="544">
        <f t="shared" si="0"/>
        <v>40.297</v>
      </c>
      <c r="I13" s="542">
        <f>SUM('Ф1'!I13)+'Ф2'!I13+'Ф3'!I13</f>
        <v>0</v>
      </c>
      <c r="J13" s="543">
        <f>SUM('Ф1'!J13)+'Ф2'!J13+'Ф3'!J13</f>
        <v>0</v>
      </c>
      <c r="K13" s="553"/>
      <c r="L13" s="542">
        <f>SUM('Ф1'!L13)+'Ф2'!L13+'Ф3'!L13</f>
        <v>0</v>
      </c>
      <c r="M13" s="543">
        <f>SUM('Ф1'!M13)+'Ф2'!M13+'Ф3'!M13</f>
        <v>0</v>
      </c>
      <c r="N13" s="551"/>
      <c r="O13" s="542">
        <f>SUM('Ф1'!AB13)+'Ф2'!AD13+'Ф3'!AB13</f>
        <v>70</v>
      </c>
      <c r="P13" s="543">
        <f>SUM('Ф1'!AC13)+'Ф2'!AE13+'Ф3'!AC13</f>
        <v>6.0495</v>
      </c>
      <c r="Q13" s="544">
        <f t="shared" si="6"/>
        <v>8.642142857142858</v>
      </c>
      <c r="R13" s="542">
        <f>'Ф3'!AN13</f>
        <v>0</v>
      </c>
      <c r="S13" s="549">
        <f>'Ф3'!AO13</f>
        <v>0</v>
      </c>
      <c r="T13" s="552"/>
      <c r="U13" s="542">
        <f>SUM('Ф1'!AN13)+'Ф2'!AP13+'Ф3'!AQ13</f>
        <v>185.3194</v>
      </c>
      <c r="V13" s="549">
        <f>SUM('Ф1'!AO13)+'Ф2'!AQ13+'Ф3'!AR13</f>
        <v>1.88073</v>
      </c>
      <c r="W13" s="544">
        <f>V13/U13*100</f>
        <v>1.0148586710295846</v>
      </c>
      <c r="X13" s="542"/>
      <c r="Y13" s="543"/>
      <c r="Z13" s="553"/>
      <c r="AA13" s="560">
        <f>'Ф2'!AW13</f>
        <v>0</v>
      </c>
      <c r="AB13" s="561">
        <f>'Ф2'!AX13</f>
        <v>0</v>
      </c>
      <c r="AC13" s="562" t="e">
        <f t="shared" si="7"/>
        <v>#DIV/0!</v>
      </c>
      <c r="AD13" s="543"/>
      <c r="AE13" s="543"/>
      <c r="AF13" s="544"/>
      <c r="AG13" s="542">
        <f>SUM('Ф1'!BB13)+'Ф2'!BC13+'Ф3'!BF13</f>
        <v>0</v>
      </c>
      <c r="AH13" s="543">
        <f>SUM('Ф1'!BC13)+'Ф2'!BD13+'Ф3'!BG13</f>
        <v>0</v>
      </c>
      <c r="AI13" s="553"/>
      <c r="AJ13" s="560">
        <f>SUM('Ф1'!BE13)+'Ф2'!BF13+'Ф3'!BI13</f>
        <v>130</v>
      </c>
      <c r="AK13" s="561">
        <f>SUM('Ф1'!BF13)+'Ф2'!BG13+'Ф3'!BJ13</f>
        <v>0</v>
      </c>
      <c r="AL13" s="544">
        <f>(AK13/AJ13)*100</f>
        <v>0</v>
      </c>
      <c r="AM13" s="633">
        <f>SUM('Ф1'!BI13)+'Ф2'!BJ13+'Ф3'!BM13</f>
        <v>0</v>
      </c>
      <c r="AN13" s="634">
        <f>SUM('Ф1'!BJ13)+'Ф2'!BK13+'Ф3'!BN13</f>
        <v>0</v>
      </c>
      <c r="AO13" s="544"/>
      <c r="AP13" s="542">
        <f>SUM('Ф1'!BL13)+'Ф2'!BM13+'Ф3'!BP13</f>
        <v>6.65315</v>
      </c>
      <c r="AQ13" s="543">
        <f>SUM('Ф1'!BM13)+'Ф2'!BN13+'Ф3'!BQ13</f>
        <v>0</v>
      </c>
      <c r="AR13" s="551">
        <f t="shared" si="1"/>
        <v>0</v>
      </c>
      <c r="AS13" s="560">
        <f>SUM('Ф1'!BO13)+'Ф2'!BP13+'Ф3'!BS13</f>
        <v>18.89074</v>
      </c>
      <c r="AT13" s="561">
        <f>SUM('Ф1'!BP13)+'Ф2'!BQ13+'Ф3'!BT13</f>
        <v>0</v>
      </c>
      <c r="AU13" s="551">
        <f t="shared" si="8"/>
        <v>0</v>
      </c>
      <c r="AV13" s="543">
        <f>SUM('Ф1'!BR13)+'Ф2'!BS13+'Ф3'!BV13</f>
        <v>0</v>
      </c>
      <c r="AW13" s="543">
        <f>SUM('Ф1'!BS13)+'Ф2'!BT13+'Ф3'!BW13</f>
        <v>0</v>
      </c>
      <c r="AX13" s="544"/>
      <c r="AY13" s="542">
        <f>SUM('Ф1'!BV13)+'Ф2'!BZ13+'Ф3'!BZ13</f>
        <v>0</v>
      </c>
      <c r="AZ13" s="543">
        <f>SUM('Ф1'!BW13)+'Ф2'!CA13+'Ф3'!CA13</f>
        <v>0</v>
      </c>
      <c r="BA13" s="544"/>
      <c r="BB13" s="560">
        <f>'Ф3'!CI13</f>
        <v>0</v>
      </c>
      <c r="BC13" s="561">
        <f>'Ф3'!CJ13</f>
        <v>0</v>
      </c>
      <c r="BD13" s="562"/>
      <c r="BE13" s="542">
        <f>SUM('Ф1'!BY13)+'Ф2'!CC13+'Ф3'!CF13</f>
        <v>0</v>
      </c>
      <c r="BF13" s="557"/>
      <c r="BG13" s="555" t="e">
        <f t="shared" si="2"/>
        <v>#DIV/0!</v>
      </c>
      <c r="BH13" s="560">
        <f>'Ф3'!CC13</f>
        <v>0</v>
      </c>
      <c r="BI13" s="561">
        <f>'Ф3'!CD13</f>
        <v>0</v>
      </c>
      <c r="BJ13" s="551"/>
      <c r="BK13" s="563">
        <f>C13+F13+I13+L13+R13+U13+X13+AD13+AG13+AJ13+AM13+AP13+AS13+AV13+AY13+O13</f>
        <v>613.86329</v>
      </c>
      <c r="BL13" s="561">
        <f>D13+G13+J13+M13+P13+V13+Y13+AE13+AH13+AK13+AN13+AQ13+AT13+AW13+AZ13+S13</f>
        <v>81.76402999999999</v>
      </c>
      <c r="BM13" s="551">
        <f t="shared" si="3"/>
        <v>13.319582931893514</v>
      </c>
      <c r="BN13" s="197"/>
      <c r="BO13" s="198"/>
      <c r="BP13" s="175"/>
    </row>
    <row r="14" spans="1:67" ht="29.25" customHeight="1">
      <c r="A14" s="505" t="s">
        <v>16</v>
      </c>
      <c r="B14" s="564" t="s">
        <v>155</v>
      </c>
      <c r="C14" s="542">
        <f>SUM('Ф1'!C14)+'Ф2'!C14+'Ф3'!C14</f>
        <v>0</v>
      </c>
      <c r="D14" s="543">
        <f>SUM('Ф1'!D14)+'Ф2'!D14+'Ф3'!D14</f>
        <v>0</v>
      </c>
      <c r="E14" s="544">
        <v>0</v>
      </c>
      <c r="F14" s="543">
        <f>SUM('Ф1'!F14)+'Ф2'!F14+'Ф3'!F14</f>
        <v>0</v>
      </c>
      <c r="G14" s="543">
        <f>SUM('Ф1'!G14)+'Ф2'!G14+'Ф3'!G14</f>
        <v>0</v>
      </c>
      <c r="H14" s="544"/>
      <c r="I14" s="542">
        <f>SUM('Ф1'!I14)+'Ф2'!I14+'Ф3'!I14</f>
        <v>0</v>
      </c>
      <c r="J14" s="543">
        <f>SUM('Ф1'!J14)+'Ф2'!J14+'Ф3'!J14</f>
        <v>0</v>
      </c>
      <c r="K14" s="553"/>
      <c r="L14" s="542">
        <f>SUM('Ф1'!L14)+'Ф2'!L14+'Ф3'!L14</f>
        <v>0</v>
      </c>
      <c r="M14" s="543">
        <f>SUM('Ф1'!M14)+'Ф2'!M14+'Ф3'!M14</f>
        <v>0</v>
      </c>
      <c r="N14" s="551"/>
      <c r="O14" s="542">
        <f>SUM('Ф1'!AB14)+'Ф2'!AD14+'Ф3'!AB14</f>
        <v>335.55628</v>
      </c>
      <c r="P14" s="543">
        <f>SUM('Ф1'!AC14)+'Ф2'!AE14+'Ф3'!AC14</f>
        <v>308.464</v>
      </c>
      <c r="Q14" s="544">
        <f t="shared" si="6"/>
        <v>91.92615915279546</v>
      </c>
      <c r="R14" s="542">
        <f>'Ф3'!AN14</f>
        <v>0</v>
      </c>
      <c r="S14" s="549">
        <f>'Ф3'!AO14</f>
        <v>0</v>
      </c>
      <c r="T14" s="552"/>
      <c r="U14" s="542">
        <f>SUM('Ф1'!AN14)+'Ф2'!AP14+'Ф3'!AQ14</f>
        <v>0</v>
      </c>
      <c r="V14" s="549">
        <f>SUM('Ф1'!AO14)+'Ф2'!AQ14+'Ф3'!AR14</f>
        <v>0</v>
      </c>
      <c r="W14" s="544"/>
      <c r="X14" s="542"/>
      <c r="Y14" s="543"/>
      <c r="Z14" s="553"/>
      <c r="AA14" s="560">
        <f>'Ф2'!AW14</f>
        <v>0</v>
      </c>
      <c r="AB14" s="561">
        <f>'Ф2'!AX14</f>
        <v>2.00405</v>
      </c>
      <c r="AC14" s="562" t="e">
        <f t="shared" si="7"/>
        <v>#DIV/0!</v>
      </c>
      <c r="AD14" s="543"/>
      <c r="AE14" s="543"/>
      <c r="AF14" s="544"/>
      <c r="AG14" s="542">
        <f>SUM('Ф1'!BB14)+'Ф2'!BC14+'Ф3'!BF14</f>
        <v>0</v>
      </c>
      <c r="AH14" s="543">
        <f>SUM('Ф1'!BC14)+'Ф2'!BD14+'Ф3'!BG14</f>
        <v>0</v>
      </c>
      <c r="AI14" s="553"/>
      <c r="AJ14" s="560">
        <f>SUM('Ф1'!BE14)+'Ф2'!BF14+'Ф3'!BI14</f>
        <v>130</v>
      </c>
      <c r="AK14" s="561">
        <f>SUM('Ф1'!BF14)+'Ф2'!BG14+'Ф3'!BJ14</f>
        <v>0</v>
      </c>
      <c r="AL14" s="544">
        <f>(AK14/AJ14)*100</f>
        <v>0</v>
      </c>
      <c r="AM14" s="633">
        <f>SUM('Ф1'!BI14)+'Ф2'!BJ14+'Ф3'!BM14</f>
        <v>0</v>
      </c>
      <c r="AN14" s="634">
        <f>SUM('Ф1'!BJ14)+'Ф2'!BK14+'Ф3'!BN14</f>
        <v>0</v>
      </c>
      <c r="AO14" s="544"/>
      <c r="AP14" s="542">
        <f>SUM('Ф1'!BL14)+'Ф2'!BM14+'Ф3'!BP14</f>
        <v>1.71274</v>
      </c>
      <c r="AQ14" s="543">
        <f>SUM('Ф1'!BM14)+'Ф2'!BN14+'Ф3'!BQ14</f>
        <v>0</v>
      </c>
      <c r="AR14" s="551">
        <f t="shared" si="1"/>
        <v>0</v>
      </c>
      <c r="AS14" s="560">
        <f>SUM('Ф1'!BO14)+'Ф2'!BP14+'Ф3'!BS14</f>
        <v>1.86458</v>
      </c>
      <c r="AT14" s="561">
        <f>SUM('Ф1'!BP14)+'Ф2'!BQ14+'Ф3'!BT14</f>
        <v>0</v>
      </c>
      <c r="AU14" s="551">
        <f t="shared" si="8"/>
        <v>0</v>
      </c>
      <c r="AV14" s="543">
        <f>SUM('Ф1'!BR14)+'Ф2'!BS14+'Ф3'!BV14</f>
        <v>0</v>
      </c>
      <c r="AW14" s="543">
        <f>SUM('Ф1'!BS14)+'Ф2'!BT14+'Ф3'!BW14</f>
        <v>0</v>
      </c>
      <c r="AX14" s="544"/>
      <c r="AY14" s="542">
        <f>SUM('Ф1'!BV14)+'Ф2'!BZ14+'Ф3'!BZ14</f>
        <v>0</v>
      </c>
      <c r="AZ14" s="543">
        <f>SUM('Ф1'!BW14)+'Ф2'!CA14+'Ф3'!CA14</f>
        <v>0</v>
      </c>
      <c r="BA14" s="544"/>
      <c r="BB14" s="560">
        <f>'Ф3'!CI14</f>
        <v>0</v>
      </c>
      <c r="BC14" s="561">
        <f>'Ф3'!CJ14</f>
        <v>0</v>
      </c>
      <c r="BD14" s="562" t="e">
        <f t="shared" si="5"/>
        <v>#DIV/0!</v>
      </c>
      <c r="BE14" s="542">
        <f>SUM('Ф1'!BY14)+'Ф2'!CC14+'Ф3'!CF14</f>
        <v>0</v>
      </c>
      <c r="BF14" s="557"/>
      <c r="BG14" s="555" t="e">
        <f t="shared" si="2"/>
        <v>#DIV/0!</v>
      </c>
      <c r="BH14" s="560">
        <f>'Ф3'!CC14</f>
        <v>0</v>
      </c>
      <c r="BI14" s="561">
        <f>'Ф3'!CD14</f>
        <v>0</v>
      </c>
      <c r="BJ14" s="562" t="e">
        <f>BI14/BH14*100</f>
        <v>#DIV/0!</v>
      </c>
      <c r="BK14" s="563">
        <f>C14+F14+I14+L14+R14+U14+X14+AD14+AG14+AJ14+AM14+AP14+AS14+AV14+AY14+O14+BH14</f>
        <v>469.1336</v>
      </c>
      <c r="BL14" s="561">
        <f>D14+G14+J14+M14+P14+V14+Y14+AE14+AH14+AK14+AN14+AQ14+AT14+AW14+AZ14+S14+BI14+AB14</f>
        <v>310.46805</v>
      </c>
      <c r="BM14" s="551">
        <f t="shared" si="3"/>
        <v>66.17902661416706</v>
      </c>
      <c r="BN14" s="197"/>
      <c r="BO14" s="175"/>
    </row>
    <row r="15" spans="1:67" ht="27.75" customHeight="1">
      <c r="A15" s="505" t="s">
        <v>17</v>
      </c>
      <c r="B15" s="564" t="s">
        <v>156</v>
      </c>
      <c r="C15" s="542">
        <f>SUM('Ф1'!C15)+'Ф2'!C15+'Ф3'!C15</f>
        <v>0</v>
      </c>
      <c r="D15" s="543">
        <f>SUM('Ф1'!D15)+'Ф2'!D15+'Ф3'!D15</f>
        <v>0</v>
      </c>
      <c r="E15" s="544">
        <v>0</v>
      </c>
      <c r="F15" s="543">
        <f>SUM('Ф1'!F15)+'Ф2'!F15+'Ф3'!F15</f>
        <v>80</v>
      </c>
      <c r="G15" s="543">
        <f>SUM('Ф1'!G15)+'Ф2'!G15+'Ф3'!G15</f>
        <v>34.52052</v>
      </c>
      <c r="H15" s="544">
        <f>(G15/F15)*100</f>
        <v>43.15065</v>
      </c>
      <c r="I15" s="542">
        <f>SUM('Ф1'!I15)+'Ф2'!I15+'Ф3'!I15</f>
        <v>0</v>
      </c>
      <c r="J15" s="543">
        <f>SUM('Ф1'!J15)+'Ф2'!J15+'Ф3'!J15</f>
        <v>0</v>
      </c>
      <c r="K15" s="553"/>
      <c r="L15" s="542">
        <f>SUM('Ф1'!L15)+'Ф2'!L15+'Ф3'!L15</f>
        <v>0</v>
      </c>
      <c r="M15" s="543">
        <f>SUM('Ф1'!M15)+'Ф2'!M15+'Ф3'!M15</f>
        <v>0</v>
      </c>
      <c r="N15" s="551"/>
      <c r="O15" s="542">
        <f>SUM('Ф1'!AB15)+'Ф2'!AD15+'Ф3'!AB15</f>
        <v>0</v>
      </c>
      <c r="P15" s="543">
        <f>SUM('Ф1'!AC15)+'Ф2'!AE15+'Ф3'!AC15</f>
        <v>0</v>
      </c>
      <c r="Q15" s="552" t="e">
        <f t="shared" si="6"/>
        <v>#DIV/0!</v>
      </c>
      <c r="R15" s="542">
        <f>'Ф3'!AN15</f>
        <v>0</v>
      </c>
      <c r="S15" s="549">
        <f>'Ф3'!AO15</f>
        <v>0</v>
      </c>
      <c r="T15" s="552"/>
      <c r="U15" s="542">
        <f>SUM('Ф1'!AN15)+'Ф2'!AP15+'Ф3'!AQ15</f>
        <v>0</v>
      </c>
      <c r="V15" s="549">
        <f>SUM('Ф1'!AO15)+'Ф2'!AQ15+'Ф3'!AR15</f>
        <v>0</v>
      </c>
      <c r="W15" s="544"/>
      <c r="X15" s="542"/>
      <c r="Y15" s="543"/>
      <c r="Z15" s="553"/>
      <c r="AA15" s="560">
        <f>'Ф2'!AW15</f>
        <v>0</v>
      </c>
      <c r="AB15" s="561">
        <f>'Ф2'!AX15</f>
        <v>0</v>
      </c>
      <c r="AC15" s="562" t="e">
        <f t="shared" si="7"/>
        <v>#DIV/0!</v>
      </c>
      <c r="AD15" s="543"/>
      <c r="AE15" s="543"/>
      <c r="AF15" s="544"/>
      <c r="AG15" s="542">
        <f>SUM('Ф1'!BB15)+'Ф2'!BC15+'Ф3'!BF15</f>
        <v>0</v>
      </c>
      <c r="AH15" s="543">
        <f>SUM('Ф1'!BC15)+'Ф2'!BD15+'Ф3'!BG15</f>
        <v>0</v>
      </c>
      <c r="AI15" s="553"/>
      <c r="AJ15" s="560">
        <f>SUM('Ф1'!BE15)+'Ф2'!BF15+'Ф3'!BI15</f>
        <v>64.8</v>
      </c>
      <c r="AK15" s="561">
        <f>SUM('Ф1'!BF15)+'Ф2'!BG15+'Ф3'!BJ15</f>
        <v>0</v>
      </c>
      <c r="AL15" s="544">
        <f aca="true" t="shared" si="10" ref="AL15:AL24">(AK15/AJ15)*100</f>
        <v>0</v>
      </c>
      <c r="AM15" s="633">
        <f>SUM('Ф1'!BI15)+'Ф2'!BJ15+'Ф3'!BM15</f>
        <v>0</v>
      </c>
      <c r="AN15" s="634">
        <f>SUM('Ф1'!BJ15)+'Ф2'!BK15+'Ф3'!BN15</f>
        <v>0</v>
      </c>
      <c r="AO15" s="544"/>
      <c r="AP15" s="542">
        <f>SUM('Ф1'!BL15)+'Ф2'!BM15+'Ф3'!BP15</f>
        <v>0</v>
      </c>
      <c r="AQ15" s="543">
        <f>SUM('Ф1'!BM15)+'Ф2'!BN15+'Ф3'!BQ15</f>
        <v>0</v>
      </c>
      <c r="AR15" s="551"/>
      <c r="AS15" s="560">
        <f>SUM('Ф1'!BO15)+'Ф2'!BP15+'Ф3'!BS15</f>
        <v>5.39625</v>
      </c>
      <c r="AT15" s="561">
        <f>SUM('Ф1'!BP15)+'Ф2'!BQ15+'Ф3'!BT15</f>
        <v>0</v>
      </c>
      <c r="AU15" s="551">
        <f t="shared" si="8"/>
        <v>0</v>
      </c>
      <c r="AV15" s="543">
        <f>SUM('Ф1'!BR15)+'Ф2'!BS15+'Ф3'!BV15</f>
        <v>0</v>
      </c>
      <c r="AW15" s="543">
        <f>SUM('Ф1'!BS15)+'Ф2'!BT15+'Ф3'!BW15</f>
        <v>0</v>
      </c>
      <c r="AX15" s="544"/>
      <c r="AY15" s="542">
        <f>SUM('Ф1'!BV15)+'Ф2'!BZ15+'Ф3'!BZ15</f>
        <v>0</v>
      </c>
      <c r="AZ15" s="543">
        <f>SUM('Ф1'!BW15)+'Ф2'!CA15+'Ф3'!CA15</f>
        <v>0</v>
      </c>
      <c r="BA15" s="544"/>
      <c r="BB15" s="560">
        <f>'Ф3'!CI15</f>
        <v>0</v>
      </c>
      <c r="BC15" s="561">
        <f>'Ф3'!CJ15</f>
        <v>0</v>
      </c>
      <c r="BD15" s="562" t="e">
        <f t="shared" si="5"/>
        <v>#DIV/0!</v>
      </c>
      <c r="BE15" s="542">
        <f>SUM('Ф1'!BY15)+'Ф2'!CC15+'Ф3'!CF15</f>
        <v>0</v>
      </c>
      <c r="BF15" s="557"/>
      <c r="BG15" s="555" t="e">
        <f t="shared" si="2"/>
        <v>#DIV/0!</v>
      </c>
      <c r="BH15" s="560">
        <f>'Ф3'!CC15</f>
        <v>0</v>
      </c>
      <c r="BI15" s="561">
        <f>'Ф3'!CD15</f>
        <v>0</v>
      </c>
      <c r="BJ15" s="562" t="e">
        <f>BI15/BH15*100</f>
        <v>#DIV/0!</v>
      </c>
      <c r="BK15" s="563">
        <f>C15+F15+I15+L15+R15+U15+X15+AD15+AG15+AJ15+AM15+AP15+AS15+AV15+AY15+O15+BH15</f>
        <v>150.19625000000002</v>
      </c>
      <c r="BL15" s="561">
        <f>D15+G15+J15+M15+P15+V15+Y15+AE15+AH15+AK15+AN15+AQ15+AT15+AW15+AZ15+S15+BI15</f>
        <v>34.52052</v>
      </c>
      <c r="BM15" s="551">
        <f t="shared" si="3"/>
        <v>22.983609777208148</v>
      </c>
      <c r="BN15" s="197"/>
      <c r="BO15" s="198"/>
    </row>
    <row r="16" spans="1:67" ht="31.5" customHeight="1">
      <c r="A16" s="505" t="s">
        <v>21</v>
      </c>
      <c r="B16" s="564" t="s">
        <v>157</v>
      </c>
      <c r="C16" s="542">
        <f>SUM('Ф1'!C16)+'Ф2'!C16+'Ф3'!C16</f>
        <v>24.6</v>
      </c>
      <c r="D16" s="543">
        <f>SUM('Ф1'!D16)+'Ф2'!D16+'Ф3'!D16</f>
        <v>16.392</v>
      </c>
      <c r="E16" s="544">
        <f aca="true" t="shared" si="11" ref="E16:E23">(D16/C16)*100</f>
        <v>66.6341463414634</v>
      </c>
      <c r="F16" s="543">
        <f>SUM('Ф1'!F16)+'Ф2'!F16+'Ф3'!F16</f>
        <v>0</v>
      </c>
      <c r="G16" s="543">
        <f>SUM('Ф1'!G16)+'Ф2'!G16+'Ф3'!G16</f>
        <v>0</v>
      </c>
      <c r="H16" s="552" t="e">
        <f>(G16/F16)*100</f>
        <v>#DIV/0!</v>
      </c>
      <c r="I16" s="542">
        <f>SUM('Ф1'!I16)+'Ф2'!I16+'Ф3'!I16</f>
        <v>123.5</v>
      </c>
      <c r="J16" s="543">
        <f>SUM('Ф1'!J16)+'Ф2'!J16+'Ф3'!J16</f>
        <v>123.5</v>
      </c>
      <c r="K16" s="553">
        <f>J16/I16*100</f>
        <v>100</v>
      </c>
      <c r="L16" s="542">
        <f>SUM('Ф1'!L16)+'Ф2'!L16+'Ф3'!L16</f>
        <v>0</v>
      </c>
      <c r="M16" s="543">
        <f>SUM('Ф1'!M16)+'Ф2'!M16+'Ф3'!M16</f>
        <v>0</v>
      </c>
      <c r="N16" s="551"/>
      <c r="O16" s="542">
        <f>SUM('Ф1'!AB16)+'Ф2'!AD16+'Ф3'!AB16</f>
        <v>0</v>
      </c>
      <c r="P16" s="543">
        <f>SUM('Ф1'!AC16)+'Ф2'!AE16+'Ф3'!AC16</f>
        <v>0</v>
      </c>
      <c r="Q16" s="552" t="e">
        <f t="shared" si="6"/>
        <v>#DIV/0!</v>
      </c>
      <c r="R16" s="542">
        <f>'Ф3'!AN16</f>
        <v>0</v>
      </c>
      <c r="S16" s="549">
        <f>'Ф3'!AO16</f>
        <v>0</v>
      </c>
      <c r="T16" s="552" t="e">
        <f>(S16/R16)*100</f>
        <v>#DIV/0!</v>
      </c>
      <c r="U16" s="542">
        <f>SUM('Ф1'!AN16)+'Ф2'!AP16+'Ф3'!AQ16</f>
        <v>0</v>
      </c>
      <c r="V16" s="549">
        <f>SUM('Ф1'!AO16)+'Ф2'!AQ16+'Ф3'!AR16</f>
        <v>0</v>
      </c>
      <c r="W16" s="544"/>
      <c r="X16" s="542"/>
      <c r="Y16" s="543"/>
      <c r="Z16" s="553"/>
      <c r="AA16" s="560">
        <f>'Ф2'!AW16</f>
        <v>0</v>
      </c>
      <c r="AB16" s="561">
        <f>'Ф2'!AX16</f>
        <v>1.75556</v>
      </c>
      <c r="AC16" s="562" t="e">
        <f t="shared" si="7"/>
        <v>#DIV/0!</v>
      </c>
      <c r="AD16" s="543"/>
      <c r="AE16" s="543"/>
      <c r="AF16" s="544"/>
      <c r="AG16" s="542">
        <f>SUM('Ф1'!BB16)+'Ф2'!BC16+'Ф3'!BF16</f>
        <v>0</v>
      </c>
      <c r="AH16" s="543">
        <f>SUM('Ф1'!BC16)+'Ф2'!BD16+'Ф3'!BG16</f>
        <v>0</v>
      </c>
      <c r="AI16" s="553"/>
      <c r="AJ16" s="560">
        <f>SUM('Ф1'!BE16)+'Ф2'!BF16+'Ф3'!BI16</f>
        <v>287.517</v>
      </c>
      <c r="AK16" s="561">
        <f>SUM('Ф1'!BF16)+'Ф2'!BG16+'Ф3'!BJ16</f>
        <v>65.46096</v>
      </c>
      <c r="AL16" s="544">
        <f t="shared" si="10"/>
        <v>22.767683302204738</v>
      </c>
      <c r="AM16" s="633">
        <f>SUM('Ф1'!BI16)+'Ф2'!BJ16+'Ф3'!BM16</f>
        <v>0</v>
      </c>
      <c r="AN16" s="634">
        <f>SUM('Ф1'!BJ16)+'Ф2'!BK16+'Ф3'!BN16</f>
        <v>0</v>
      </c>
      <c r="AO16" s="544"/>
      <c r="AP16" s="542">
        <f>SUM('Ф1'!BL16)+'Ф2'!BM16+'Ф3'!BP16</f>
        <v>7.83579</v>
      </c>
      <c r="AQ16" s="543">
        <f>SUM('Ф1'!BM16)+'Ф2'!BN16+'Ф3'!BQ16</f>
        <v>7.83579</v>
      </c>
      <c r="AR16" s="551">
        <f t="shared" si="1"/>
        <v>100</v>
      </c>
      <c r="AS16" s="560">
        <f>SUM('Ф1'!BO16)+'Ф2'!BP16+'Ф3'!BS16</f>
        <v>3.24342</v>
      </c>
      <c r="AT16" s="561">
        <f>SUM('Ф1'!BP16)+'Ф2'!BQ16+'Ф3'!BT16</f>
        <v>1.98</v>
      </c>
      <c r="AU16" s="551">
        <f t="shared" si="8"/>
        <v>61.046672956323874</v>
      </c>
      <c r="AV16" s="543">
        <f>SUM('Ф1'!BR16)+'Ф2'!BS16+'Ф3'!BV16</f>
        <v>0</v>
      </c>
      <c r="AW16" s="543">
        <f>SUM('Ф1'!BS16)+'Ф2'!BT16+'Ф3'!BW16</f>
        <v>0</v>
      </c>
      <c r="AX16" s="544"/>
      <c r="AY16" s="542">
        <f>SUM('Ф1'!BV16)+'Ф2'!BZ16+'Ф3'!BZ16</f>
        <v>0</v>
      </c>
      <c r="AZ16" s="543">
        <f>SUM('Ф1'!BW16)+'Ф2'!CA16+'Ф3'!CA16</f>
        <v>0</v>
      </c>
      <c r="BA16" s="544"/>
      <c r="BB16" s="560">
        <f>'Ф3'!CI16</f>
        <v>0</v>
      </c>
      <c r="BC16" s="561">
        <f>'Ф3'!CJ16</f>
        <v>0</v>
      </c>
      <c r="BD16" s="562" t="e">
        <f t="shared" si="5"/>
        <v>#DIV/0!</v>
      </c>
      <c r="BE16" s="542">
        <f>SUM('Ф1'!BY16)+'Ф2'!CC16+'Ф3'!CF16</f>
        <v>0</v>
      </c>
      <c r="BF16" s="557"/>
      <c r="BG16" s="555" t="e">
        <f t="shared" si="2"/>
        <v>#DIV/0!</v>
      </c>
      <c r="BH16" s="560">
        <f>'Ф3'!CC16</f>
        <v>35</v>
      </c>
      <c r="BI16" s="561">
        <f>'Ф3'!CD16</f>
        <v>0</v>
      </c>
      <c r="BJ16" s="551">
        <f>BI16/BH16*100</f>
        <v>0</v>
      </c>
      <c r="BK16" s="563">
        <f>C16+F16+I16+L16+R16+U16+X16+AD16+AG16+AJ16+AM16+AP16+AS16+AV16+AY16+O16+BH16</f>
        <v>481.69620999999995</v>
      </c>
      <c r="BL16" s="561">
        <f>D16+G16+J16+M16+P16+V16+Y16+AE16+AH16+AK16+AN16+AQ16+AT16+AW16+AZ16+S16+AB16</f>
        <v>216.92431</v>
      </c>
      <c r="BM16" s="551">
        <f t="shared" si="3"/>
        <v>45.03342677327688</v>
      </c>
      <c r="BN16" s="197"/>
      <c r="BO16" s="198"/>
    </row>
    <row r="17" spans="1:67" ht="29.25" customHeight="1">
      <c r="A17" s="505" t="s">
        <v>22</v>
      </c>
      <c r="B17" s="564" t="s">
        <v>158</v>
      </c>
      <c r="C17" s="542">
        <f>SUM('Ф1'!C17)+'Ф2'!C17+'Ф3'!C17</f>
        <v>16.563</v>
      </c>
      <c r="D17" s="543">
        <f>SUM('Ф1'!D17)+'Ф2'!D17+'Ф3'!D17</f>
        <v>16.524</v>
      </c>
      <c r="E17" s="544">
        <f t="shared" si="11"/>
        <v>99.76453541025178</v>
      </c>
      <c r="F17" s="543">
        <f>SUM('Ф1'!F17)+'Ф2'!F17+'Ф3'!F17</f>
        <v>30</v>
      </c>
      <c r="G17" s="543">
        <f>SUM('Ф1'!G17)+'Ф2'!G17+'Ф3'!G17</f>
        <v>11.47074</v>
      </c>
      <c r="H17" s="544">
        <f aca="true" t="shared" si="12" ref="H17:H24">(G17/F17)*100</f>
        <v>38.2358</v>
      </c>
      <c r="I17" s="542">
        <f>SUM('Ф1'!I17)+'Ф2'!I17+'Ф3'!I17</f>
        <v>0</v>
      </c>
      <c r="J17" s="543">
        <f>SUM('Ф1'!J17)+'Ф2'!J17+'Ф3'!J17</f>
        <v>0</v>
      </c>
      <c r="K17" s="553"/>
      <c r="L17" s="542">
        <f>SUM('Ф1'!L17)+'Ф2'!L17+'Ф3'!L17</f>
        <v>0</v>
      </c>
      <c r="M17" s="543">
        <f>SUM('Ф1'!M17)+'Ф2'!M17+'Ф3'!M17</f>
        <v>0</v>
      </c>
      <c r="N17" s="551"/>
      <c r="O17" s="542">
        <f>SUM('Ф1'!AB17)+'Ф2'!AD17+'Ф3'!AB17</f>
        <v>0</v>
      </c>
      <c r="P17" s="543">
        <f>SUM('Ф1'!AC17)+'Ф2'!AE17+'Ф3'!AC17</f>
        <v>0</v>
      </c>
      <c r="Q17" s="552" t="e">
        <f t="shared" si="6"/>
        <v>#DIV/0!</v>
      </c>
      <c r="R17" s="542">
        <f>'Ф3'!AN17</f>
        <v>0</v>
      </c>
      <c r="S17" s="549">
        <f>'Ф3'!AO17</f>
        <v>0</v>
      </c>
      <c r="T17" s="552" t="e">
        <f>(S17/R17)*100</f>
        <v>#DIV/0!</v>
      </c>
      <c r="U17" s="542">
        <f>SUM('Ф1'!AN17)+'Ф2'!AP17+'Ф3'!AQ17</f>
        <v>3</v>
      </c>
      <c r="V17" s="549">
        <f>SUM('Ф1'!AO17)+'Ф2'!AQ17+'Ф3'!AR17</f>
        <v>0</v>
      </c>
      <c r="W17" s="544">
        <f t="shared" si="9"/>
        <v>0</v>
      </c>
      <c r="X17" s="542"/>
      <c r="Y17" s="543"/>
      <c r="Z17" s="553"/>
      <c r="AA17" s="560">
        <f>'Ф2'!AW17</f>
        <v>0</v>
      </c>
      <c r="AB17" s="561">
        <f>'Ф2'!AX17</f>
        <v>3.75883</v>
      </c>
      <c r="AC17" s="562" t="e">
        <f t="shared" si="7"/>
        <v>#DIV/0!</v>
      </c>
      <c r="AD17" s="543"/>
      <c r="AE17" s="543"/>
      <c r="AF17" s="544"/>
      <c r="AG17" s="542">
        <f>SUM('Ф1'!BB17)+'Ф2'!BC17+'Ф3'!BF17</f>
        <v>0</v>
      </c>
      <c r="AH17" s="543">
        <f>SUM('Ф1'!BC17)+'Ф2'!BD17+'Ф3'!BG17</f>
        <v>0</v>
      </c>
      <c r="AI17" s="553"/>
      <c r="AJ17" s="560">
        <f>SUM('Ф1'!BE17)+'Ф2'!BF17+'Ф3'!BI17</f>
        <v>45</v>
      </c>
      <c r="AK17" s="561">
        <f>SUM('Ф1'!BF17)+'Ф2'!BG17+'Ф3'!BJ17</f>
        <v>0</v>
      </c>
      <c r="AL17" s="544">
        <f t="shared" si="10"/>
        <v>0</v>
      </c>
      <c r="AM17" s="633">
        <f>SUM('Ф1'!BI17)+'Ф2'!BJ17+'Ф3'!BM17</f>
        <v>0</v>
      </c>
      <c r="AN17" s="634">
        <f>SUM('Ф1'!BJ17)+'Ф2'!BK17+'Ф3'!BN17</f>
        <v>0</v>
      </c>
      <c r="AO17" s="544"/>
      <c r="AP17" s="542">
        <f>SUM('Ф1'!BL17)+'Ф2'!BM17+'Ф3'!BP17</f>
        <v>0</v>
      </c>
      <c r="AQ17" s="543">
        <f>SUM('Ф1'!BM17)+'Ф2'!BN17+'Ф3'!BQ17</f>
        <v>0</v>
      </c>
      <c r="AR17" s="551"/>
      <c r="AS17" s="560">
        <f>SUM('Ф1'!BO17)+'Ф2'!BP17+'Ф3'!BS17</f>
        <v>0</v>
      </c>
      <c r="AT17" s="561">
        <f>SUM('Ф1'!BP17)+'Ф2'!BQ17+'Ф3'!BT17</f>
        <v>0</v>
      </c>
      <c r="AU17" s="562" t="e">
        <f t="shared" si="8"/>
        <v>#DIV/0!</v>
      </c>
      <c r="AV17" s="543">
        <f>SUM('Ф1'!BR17)+'Ф2'!BS17+'Ф3'!BV17</f>
        <v>0</v>
      </c>
      <c r="AW17" s="543">
        <f>SUM('Ф1'!BS17)+'Ф2'!BT17+'Ф3'!BW17</f>
        <v>0</v>
      </c>
      <c r="AX17" s="544"/>
      <c r="AY17" s="542">
        <f>SUM('Ф1'!BV17)+'Ф2'!BZ17+'Ф3'!BZ17</f>
        <v>0</v>
      </c>
      <c r="AZ17" s="543">
        <f>SUM('Ф1'!BW17)+'Ф2'!CA17+'Ф3'!CA17</f>
        <v>0</v>
      </c>
      <c r="BA17" s="544"/>
      <c r="BB17" s="560">
        <f>'Ф3'!CI17</f>
        <v>0</v>
      </c>
      <c r="BC17" s="561">
        <f>'Ф3'!CJ17</f>
        <v>0</v>
      </c>
      <c r="BD17" s="562" t="e">
        <f t="shared" si="5"/>
        <v>#DIV/0!</v>
      </c>
      <c r="BE17" s="542">
        <f>SUM('Ф1'!BY17)+'Ф2'!CC17+'Ф3'!CF17</f>
        <v>0</v>
      </c>
      <c r="BF17" s="557"/>
      <c r="BG17" s="555" t="e">
        <f t="shared" si="2"/>
        <v>#DIV/0!</v>
      </c>
      <c r="BH17" s="560">
        <f>'Ф3'!CC17</f>
        <v>0</v>
      </c>
      <c r="BI17" s="561">
        <f>'Ф3'!CD17</f>
        <v>0</v>
      </c>
      <c r="BJ17" s="562"/>
      <c r="BK17" s="563">
        <f>C17+F17+I17+L17+R17+U17+X17+AD17+AG17+AJ17+AM17+AP17+AS17+AV17+AY17+O17</f>
        <v>94.563</v>
      </c>
      <c r="BL17" s="561">
        <f>D17+G17+J17+M17+P17+V17+Y17+AE17+AH17+AK17+AN17+AQ17+AT17+AW17+AZ17+S17+AB17</f>
        <v>31.75357</v>
      </c>
      <c r="BM17" s="551">
        <f t="shared" si="3"/>
        <v>33.57927519219991</v>
      </c>
      <c r="BN17" s="197"/>
      <c r="BO17" s="198"/>
    </row>
    <row r="18" spans="1:67" ht="30.75" customHeight="1">
      <c r="A18" s="505" t="s">
        <v>23</v>
      </c>
      <c r="B18" s="559" t="s">
        <v>159</v>
      </c>
      <c r="C18" s="542">
        <f>SUM('Ф1'!C18)+'Ф2'!C18+'Ф3'!C18</f>
        <v>0</v>
      </c>
      <c r="D18" s="543">
        <f>SUM('Ф1'!D18)+'Ф2'!D18+'Ф3'!D18</f>
        <v>0</v>
      </c>
      <c r="E18" s="544">
        <v>0</v>
      </c>
      <c r="F18" s="543">
        <f>SUM('Ф1'!F18)+'Ф2'!F18+'Ф3'!F18</f>
        <v>198</v>
      </c>
      <c r="G18" s="543">
        <f>SUM('Ф1'!G18)+'Ф2'!G18+'Ф3'!G18</f>
        <v>40.64326</v>
      </c>
      <c r="H18" s="544">
        <f t="shared" si="12"/>
        <v>20.52689898989899</v>
      </c>
      <c r="I18" s="542">
        <f>SUM('Ф1'!I18)+'Ф2'!I18+'Ф3'!I18</f>
        <v>0</v>
      </c>
      <c r="J18" s="543">
        <f>SUM('Ф1'!J18)+'Ф2'!J18+'Ф3'!J18</f>
        <v>0</v>
      </c>
      <c r="K18" s="553"/>
      <c r="L18" s="542">
        <f>SUM('Ф1'!L18)+'Ф2'!L18+'Ф3'!L18</f>
        <v>0</v>
      </c>
      <c r="M18" s="543">
        <f>SUM('Ф1'!M18)+'Ф2'!M18+'Ф3'!M18</f>
        <v>0</v>
      </c>
      <c r="N18" s="551"/>
      <c r="O18" s="542">
        <f>SUM('Ф1'!AB18)+'Ф2'!AD18+'Ф3'!AB18</f>
        <v>17.8</v>
      </c>
      <c r="P18" s="543">
        <f>SUM('Ф1'!AC18)+'Ф2'!AE18+'Ф3'!AC18</f>
        <v>17.8</v>
      </c>
      <c r="Q18" s="544">
        <f t="shared" si="6"/>
        <v>100</v>
      </c>
      <c r="R18" s="542">
        <f>'Ф3'!AN18</f>
        <v>0</v>
      </c>
      <c r="S18" s="549">
        <f>'Ф3'!AO18</f>
        <v>0</v>
      </c>
      <c r="T18" s="552" t="e">
        <f t="shared" si="4"/>
        <v>#DIV/0!</v>
      </c>
      <c r="U18" s="542">
        <f>SUM('Ф1'!AN18)+'Ф2'!AP18+'Ф3'!AQ18</f>
        <v>4</v>
      </c>
      <c r="V18" s="549">
        <f>SUM('Ф1'!AO18)+'Ф2'!AQ18+'Ф3'!AR18</f>
        <v>3.27926</v>
      </c>
      <c r="W18" s="544">
        <f t="shared" si="9"/>
        <v>0.819815</v>
      </c>
      <c r="X18" s="542"/>
      <c r="Y18" s="543"/>
      <c r="Z18" s="553"/>
      <c r="AA18" s="560">
        <f>'Ф2'!AW18</f>
        <v>0</v>
      </c>
      <c r="AB18" s="561">
        <f>'Ф2'!AX18</f>
        <v>3.46433</v>
      </c>
      <c r="AC18" s="562" t="e">
        <f t="shared" si="7"/>
        <v>#DIV/0!</v>
      </c>
      <c r="AD18" s="543"/>
      <c r="AE18" s="543"/>
      <c r="AF18" s="544"/>
      <c r="AG18" s="542">
        <f>SUM('Ф1'!BB18)+'Ф2'!BC18+'Ф3'!BF18</f>
        <v>0</v>
      </c>
      <c r="AH18" s="543">
        <f>SUM('Ф1'!BC18)+'Ф2'!BD18+'Ф3'!BG18</f>
        <v>0</v>
      </c>
      <c r="AI18" s="553"/>
      <c r="AJ18" s="560">
        <f>SUM('Ф1'!BE18)+'Ф2'!BF18+'Ф3'!BI18</f>
        <v>0</v>
      </c>
      <c r="AK18" s="561">
        <f>SUM('Ф1'!BF18)+'Ф2'!BG18+'Ф3'!BJ18</f>
        <v>0</v>
      </c>
      <c r="AL18" s="544"/>
      <c r="AM18" s="633">
        <f>SUM('Ф1'!BI18)+'Ф2'!BJ18+'Ф3'!BM18</f>
        <v>0</v>
      </c>
      <c r="AN18" s="634">
        <f>SUM('Ф1'!BJ18)+'Ф2'!BK18+'Ф3'!BN18</f>
        <v>0</v>
      </c>
      <c r="AO18" s="544"/>
      <c r="AP18" s="542">
        <f>SUM('Ф1'!BL18)+'Ф2'!BM18+'Ф3'!BP18</f>
        <v>400</v>
      </c>
      <c r="AQ18" s="543">
        <f>SUM('Ф1'!BM18)+'Ф2'!BN18+'Ф3'!BQ18</f>
        <v>395.52225</v>
      </c>
      <c r="AR18" s="551">
        <f t="shared" si="1"/>
        <v>98.8805625</v>
      </c>
      <c r="AS18" s="560">
        <f>SUM('Ф1'!BO18)+'Ф2'!BP18+'Ф3'!BS18</f>
        <v>0.8</v>
      </c>
      <c r="AT18" s="561">
        <f>SUM('Ф1'!BP18)+'Ф2'!BQ18+'Ф3'!BT18</f>
        <v>0</v>
      </c>
      <c r="AU18" s="551">
        <f t="shared" si="8"/>
        <v>0</v>
      </c>
      <c r="AV18" s="543">
        <f>SUM('Ф1'!BR18)+'Ф2'!BS18+'Ф3'!BV18</f>
        <v>0</v>
      </c>
      <c r="AW18" s="543">
        <f>SUM('Ф1'!BS18)+'Ф2'!BT18+'Ф3'!BW18</f>
        <v>0</v>
      </c>
      <c r="AX18" s="544"/>
      <c r="AY18" s="542">
        <f>SUM('Ф1'!BV18)+'Ф2'!BZ18+'Ф3'!BZ18</f>
        <v>160</v>
      </c>
      <c r="AZ18" s="543">
        <f>SUM('Ф1'!BW18)+'Ф2'!CA18+'Ф3'!CA18</f>
        <v>0</v>
      </c>
      <c r="BA18" s="544">
        <f>(AZ18/AY18)*100</f>
        <v>0</v>
      </c>
      <c r="BB18" s="560">
        <f>'Ф3'!CI18</f>
        <v>0</v>
      </c>
      <c r="BC18" s="561">
        <f>'Ф3'!CJ18</f>
        <v>0</v>
      </c>
      <c r="BD18" s="562"/>
      <c r="BE18" s="542">
        <f>SUM('Ф1'!BY18)+'Ф2'!CC18+'Ф3'!CF18</f>
        <v>0</v>
      </c>
      <c r="BF18" s="557"/>
      <c r="BG18" s="555" t="e">
        <f t="shared" si="2"/>
        <v>#DIV/0!</v>
      </c>
      <c r="BH18" s="560">
        <f>'Ф3'!CC18</f>
        <v>0</v>
      </c>
      <c r="BI18" s="561">
        <f>'Ф3'!CD18</f>
        <v>0</v>
      </c>
      <c r="BJ18" s="562"/>
      <c r="BK18" s="563">
        <f>C18+F18+I18+L18+R18+U18+X18+AD18+AG18+AJ18+AM18+AP18+AS18+AV18+AY18+O18</f>
        <v>780.5999999999999</v>
      </c>
      <c r="BL18" s="561">
        <f>D18+G18+J18+M18+P18+V18+Y18+AE18+AH18+AK18+AN18+AQ18+AT18+AW18+AZ18+S18+AB18</f>
        <v>460.7091</v>
      </c>
      <c r="BM18" s="551">
        <f t="shared" si="3"/>
        <v>59.01986933128364</v>
      </c>
      <c r="BN18" s="197"/>
      <c r="BO18" s="198"/>
    </row>
    <row r="19" spans="1:67" ht="29.25" customHeight="1">
      <c r="A19" s="505" t="s">
        <v>24</v>
      </c>
      <c r="B19" s="564" t="s">
        <v>160</v>
      </c>
      <c r="C19" s="542">
        <f>SUM('Ф1'!C19)+'Ф2'!C19+'Ф3'!C19</f>
        <v>14</v>
      </c>
      <c r="D19" s="543">
        <f>SUM('Ф1'!D19)+'Ф2'!D19+'Ф3'!D19</f>
        <v>7.32</v>
      </c>
      <c r="E19" s="544">
        <f t="shared" si="11"/>
        <v>52.28571428571429</v>
      </c>
      <c r="F19" s="543">
        <f>SUM('Ф1'!F19)+'Ф2'!F19+'Ф3'!F19</f>
        <v>46</v>
      </c>
      <c r="G19" s="543">
        <f>SUM('Ф1'!G19)+'Ф2'!G19+'Ф3'!G19</f>
        <v>27.442149999999998</v>
      </c>
      <c r="H19" s="544">
        <f t="shared" si="12"/>
        <v>59.65684782608696</v>
      </c>
      <c r="I19" s="542">
        <f>SUM('Ф1'!I19)+'Ф2'!I19+'Ф3'!I19</f>
        <v>0</v>
      </c>
      <c r="J19" s="543">
        <f>SUM('Ф1'!J19)+'Ф2'!J19+'Ф3'!J19</f>
        <v>0</v>
      </c>
      <c r="K19" s="553"/>
      <c r="L19" s="542">
        <f>SUM('Ф1'!L19)+'Ф2'!L19+'Ф3'!L19</f>
        <v>0</v>
      </c>
      <c r="M19" s="543">
        <f>SUM('Ф1'!M19)+'Ф2'!M19+'Ф3'!M19</f>
        <v>0</v>
      </c>
      <c r="N19" s="551"/>
      <c r="O19" s="542">
        <f>SUM('Ф1'!AB19)+'Ф2'!AD19+'Ф3'!AB19</f>
        <v>0</v>
      </c>
      <c r="P19" s="543">
        <f>SUM('Ф1'!AC19)+'Ф2'!AE19+'Ф3'!AC19</f>
        <v>0</v>
      </c>
      <c r="Q19" s="552" t="e">
        <f t="shared" si="6"/>
        <v>#DIV/0!</v>
      </c>
      <c r="R19" s="542">
        <f>'Ф3'!AN19</f>
        <v>0</v>
      </c>
      <c r="S19" s="549">
        <f>'Ф3'!AO19</f>
        <v>0</v>
      </c>
      <c r="T19" s="552" t="e">
        <f t="shared" si="4"/>
        <v>#DIV/0!</v>
      </c>
      <c r="U19" s="542">
        <f>SUM('Ф1'!AN19)+'Ф2'!AP19+'Ф3'!AQ19</f>
        <v>18.56235</v>
      </c>
      <c r="V19" s="549">
        <f>SUM('Ф1'!AO19)+'Ф2'!AQ19+'Ф3'!AR19</f>
        <v>0</v>
      </c>
      <c r="W19" s="544">
        <f t="shared" si="9"/>
        <v>0</v>
      </c>
      <c r="X19" s="542"/>
      <c r="Y19" s="543"/>
      <c r="Z19" s="553"/>
      <c r="AA19" s="560">
        <f>'Ф2'!AW19</f>
        <v>0</v>
      </c>
      <c r="AB19" s="561">
        <f>'Ф2'!AX19</f>
        <v>0</v>
      </c>
      <c r="AC19" s="562" t="e">
        <f t="shared" si="7"/>
        <v>#DIV/0!</v>
      </c>
      <c r="AD19" s="543"/>
      <c r="AE19" s="543"/>
      <c r="AF19" s="544"/>
      <c r="AG19" s="542">
        <f>SUM('Ф1'!BB19)+'Ф2'!BC19+'Ф3'!BF19</f>
        <v>0</v>
      </c>
      <c r="AH19" s="543">
        <f>SUM('Ф1'!BC19)+'Ф2'!BD19+'Ф3'!BG19</f>
        <v>0</v>
      </c>
      <c r="AI19" s="553"/>
      <c r="AJ19" s="560">
        <f>SUM('Ф1'!BE19)+'Ф2'!BF19+'Ф3'!BI19</f>
        <v>15</v>
      </c>
      <c r="AK19" s="561">
        <f>SUM('Ф1'!BF19)+'Ф2'!BG19+'Ф3'!BJ19</f>
        <v>0</v>
      </c>
      <c r="AL19" s="544">
        <f t="shared" si="10"/>
        <v>0</v>
      </c>
      <c r="AM19" s="633">
        <f>SUM('Ф1'!BI19)+'Ф2'!BJ19+'Ф3'!BM19</f>
        <v>0</v>
      </c>
      <c r="AN19" s="634">
        <f>SUM('Ф1'!BJ19)+'Ф2'!BK19+'Ф3'!BN19</f>
        <v>0</v>
      </c>
      <c r="AO19" s="544"/>
      <c r="AP19" s="542">
        <f>SUM('Ф1'!BL19)+'Ф2'!BM19+'Ф3'!BP19</f>
        <v>0</v>
      </c>
      <c r="AQ19" s="543">
        <f>SUM('Ф1'!BM19)+'Ф2'!BN19+'Ф3'!BQ19</f>
        <v>0</v>
      </c>
      <c r="AR19" s="551"/>
      <c r="AS19" s="560">
        <f>SUM('Ф1'!BO19)+'Ф2'!BP19+'Ф3'!BS19</f>
        <v>1.87371</v>
      </c>
      <c r="AT19" s="561">
        <f>SUM('Ф1'!BP19)+'Ф2'!BQ19+'Ф3'!BT19</f>
        <v>0</v>
      </c>
      <c r="AU19" s="551">
        <v>0</v>
      </c>
      <c r="AV19" s="543">
        <f>SUM('Ф1'!BR19)+'Ф2'!BS19+'Ф3'!BV19</f>
        <v>0</v>
      </c>
      <c r="AW19" s="543">
        <f>SUM('Ф1'!BS19)+'Ф2'!BT19+'Ф3'!BW19</f>
        <v>0</v>
      </c>
      <c r="AX19" s="544"/>
      <c r="AY19" s="542">
        <f>SUM('Ф1'!BV19)+'Ф2'!BZ19+'Ф3'!BZ19</f>
        <v>0</v>
      </c>
      <c r="AZ19" s="543">
        <f>SUM('Ф1'!BW19)+'Ф2'!CA19+'Ф3'!CB19</f>
        <v>0</v>
      </c>
      <c r="BA19" s="544"/>
      <c r="BB19" s="560">
        <f>'Ф3'!CI19</f>
        <v>0</v>
      </c>
      <c r="BC19" s="561">
        <f>'Ф3'!CJ19</f>
        <v>0</v>
      </c>
      <c r="BD19" s="562"/>
      <c r="BE19" s="542">
        <f>SUM('Ф1'!BY19)+'Ф2'!CC19+'Ф3'!CF19</f>
        <v>0</v>
      </c>
      <c r="BF19" s="557"/>
      <c r="BG19" s="555" t="e">
        <f t="shared" si="2"/>
        <v>#DIV/0!</v>
      </c>
      <c r="BH19" s="560">
        <f>'Ф3'!CC19</f>
        <v>0</v>
      </c>
      <c r="BI19" s="561">
        <f>'Ф3'!CD19</f>
        <v>0</v>
      </c>
      <c r="BJ19" s="562"/>
      <c r="BK19" s="563">
        <f>C19+F19+I19+L19+R19+U19+X19+AD19+AG19+AJ19+AM19+AP19+AS19+AV19+AY19+O19</f>
        <v>95.43606</v>
      </c>
      <c r="BL19" s="561">
        <f>D19+G19+J19+M19+P19+V19+Y19+AE19+AH19+AK19+AN19+AQ19+AT19+AW19+AZ19+S19+AB19</f>
        <v>34.76215</v>
      </c>
      <c r="BM19" s="551">
        <f t="shared" si="3"/>
        <v>36.42454434937905</v>
      </c>
      <c r="BN19" s="197"/>
      <c r="BO19" s="198"/>
    </row>
    <row r="20" spans="1:67" ht="30.75" customHeight="1">
      <c r="A20" s="505" t="s">
        <v>25</v>
      </c>
      <c r="B20" s="559" t="s">
        <v>161</v>
      </c>
      <c r="C20" s="542">
        <f>SUM('Ф1'!C20)+'Ф2'!C20+'Ф3'!C20</f>
        <v>117</v>
      </c>
      <c r="D20" s="543">
        <f>SUM('Ф1'!D20)+'Ф2'!D20+'Ф3'!D20</f>
        <v>116.309</v>
      </c>
      <c r="E20" s="544">
        <f t="shared" si="11"/>
        <v>99.4094017094017</v>
      </c>
      <c r="F20" s="543">
        <f>SUM('Ф1'!F20)+'Ф2'!F20+'Ф3'!F20</f>
        <v>375</v>
      </c>
      <c r="G20" s="543">
        <f>SUM('Ф1'!G20)+'Ф2'!G20+'Ф3'!G20</f>
        <v>102.78622</v>
      </c>
      <c r="H20" s="544">
        <f t="shared" si="12"/>
        <v>27.409658666666665</v>
      </c>
      <c r="I20" s="542">
        <f>SUM('Ф1'!I20)+'Ф2'!I20+'Ф3'!I20</f>
        <v>50</v>
      </c>
      <c r="J20" s="543">
        <f>SUM('Ф1'!J20)+'Ф2'!J20+'Ф3'!J20</f>
        <v>0</v>
      </c>
      <c r="K20" s="553">
        <f>J20/I20*100</f>
        <v>0</v>
      </c>
      <c r="L20" s="542">
        <f>SUM('Ф1'!L20)+'Ф2'!L20+'Ф3'!L20</f>
        <v>0</v>
      </c>
      <c r="M20" s="543">
        <f>SUM('Ф1'!M20)+'Ф2'!M20+'Ф3'!M20</f>
        <v>0</v>
      </c>
      <c r="N20" s="551"/>
      <c r="O20" s="542">
        <f>SUM('Ф1'!AB20)+'Ф2'!AD20+'Ф3'!AB20</f>
        <v>334.742</v>
      </c>
      <c r="P20" s="543">
        <f>SUM('Ф1'!AC20)+'Ф2'!AE20+'Ф3'!AC20</f>
        <v>60</v>
      </c>
      <c r="Q20" s="544">
        <f t="shared" si="6"/>
        <v>17.924252110580685</v>
      </c>
      <c r="R20" s="542">
        <f>'Ф3'!AN20</f>
        <v>0</v>
      </c>
      <c r="S20" s="549">
        <f>'Ф3'!AO20</f>
        <v>0</v>
      </c>
      <c r="T20" s="552" t="e">
        <f t="shared" si="4"/>
        <v>#DIV/0!</v>
      </c>
      <c r="U20" s="542">
        <f>SUM('Ф1'!AN20)+'Ф2'!AP20+'Ф3'!AQ20</f>
        <v>30</v>
      </c>
      <c r="V20" s="549">
        <f>SUM('Ф1'!AO20)+'Ф2'!AQ20+'Ф3'!AR20</f>
        <v>0</v>
      </c>
      <c r="W20" s="544">
        <f t="shared" si="9"/>
        <v>0</v>
      </c>
      <c r="X20" s="542"/>
      <c r="Y20" s="543"/>
      <c r="Z20" s="553"/>
      <c r="AA20" s="560">
        <f>'Ф2'!AW20</f>
        <v>0</v>
      </c>
      <c r="AB20" s="561">
        <f>'Ф2'!AX20</f>
        <v>0</v>
      </c>
      <c r="AC20" s="562" t="e">
        <f t="shared" si="7"/>
        <v>#DIV/0!</v>
      </c>
      <c r="AD20" s="543"/>
      <c r="AE20" s="543"/>
      <c r="AF20" s="544"/>
      <c r="AG20" s="542">
        <f>SUM('Ф1'!BB20)+'Ф2'!BC20+'Ф3'!BF20</f>
        <v>0</v>
      </c>
      <c r="AH20" s="543">
        <f>SUM('Ф1'!BC20)+'Ф2'!BD20+'Ф3'!BG20</f>
        <v>0</v>
      </c>
      <c r="AI20" s="553"/>
      <c r="AJ20" s="560">
        <f>SUM('Ф1'!BE20)+'Ф2'!BF20+'Ф3'!BI20</f>
        <v>355</v>
      </c>
      <c r="AK20" s="561">
        <f>SUM('Ф1'!BF20)+'Ф2'!BG20+'Ф3'!BJ20</f>
        <v>115.32</v>
      </c>
      <c r="AL20" s="544">
        <f t="shared" si="10"/>
        <v>32.48450704225352</v>
      </c>
      <c r="AM20" s="633">
        <f>SUM('Ф1'!BI20)+'Ф2'!BJ20+'Ф3'!BM20</f>
        <v>0</v>
      </c>
      <c r="AN20" s="634">
        <f>SUM('Ф1'!BJ20)+'Ф2'!BK20+'Ф3'!BN20</f>
        <v>0</v>
      </c>
      <c r="AO20" s="544"/>
      <c r="AP20" s="542">
        <f>SUM('Ф1'!BL20)+'Ф2'!BM20+'Ф3'!BP20</f>
        <v>0</v>
      </c>
      <c r="AQ20" s="543">
        <f>SUM('Ф1'!BM20)+'Ф2'!BN20+'Ф3'!BQ20</f>
        <v>0</v>
      </c>
      <c r="AR20" s="551"/>
      <c r="AS20" s="560">
        <f>SUM('Ф1'!BO20)+'Ф2'!BP20+'Ф3'!BS20</f>
        <v>0.7</v>
      </c>
      <c r="AT20" s="561">
        <f>SUM('Ф1'!BP20)+'Ф2'!BQ20+'Ф3'!BT20</f>
        <v>0</v>
      </c>
      <c r="AU20" s="551">
        <v>0</v>
      </c>
      <c r="AV20" s="543">
        <f>SUM('Ф1'!BR20)+'Ф2'!BS20+'Ф3'!BV20</f>
        <v>0</v>
      </c>
      <c r="AW20" s="543">
        <f>SUM('Ф1'!BS20)+'Ф2'!BT20+'Ф3'!BW20</f>
        <v>0</v>
      </c>
      <c r="AX20" s="544"/>
      <c r="AY20" s="542">
        <f>SUM('Ф1'!BV20)+'Ф2'!BZ20+'Ф3'!BZ20</f>
        <v>0</v>
      </c>
      <c r="AZ20" s="543">
        <f>SUM('Ф1'!BW20)+'Ф2'!CA20+'Ф3'!CA20</f>
        <v>0</v>
      </c>
      <c r="BA20" s="544"/>
      <c r="BB20" s="560">
        <f>'Ф3'!CI20</f>
        <v>0</v>
      </c>
      <c r="BC20" s="561">
        <f>'Ф3'!CJ20</f>
        <v>0</v>
      </c>
      <c r="BD20" s="562" t="e">
        <f t="shared" si="5"/>
        <v>#DIV/0!</v>
      </c>
      <c r="BE20" s="542">
        <f>SUM('Ф1'!BY20)+'Ф2'!CC20+'Ф3'!CF20</f>
        <v>0</v>
      </c>
      <c r="BF20" s="557"/>
      <c r="BG20" s="555" t="e">
        <f t="shared" si="2"/>
        <v>#DIV/0!</v>
      </c>
      <c r="BH20" s="560">
        <f>'Ф3'!CC20</f>
        <v>0</v>
      </c>
      <c r="BI20" s="561">
        <f>'Ф3'!CD20</f>
        <v>0</v>
      </c>
      <c r="BJ20" s="562" t="e">
        <f>BI20/BH20*100</f>
        <v>#DIV/0!</v>
      </c>
      <c r="BK20" s="563">
        <f>C20+F20+I20+L20+R20+U20+X20+AD20+AG20+AJ20+AM20+AP20+AS20+AV20+AY20+O20+BH20</f>
        <v>1262.442</v>
      </c>
      <c r="BL20" s="561">
        <f>D20+G20+J20+M20+P20+V20+Y20+AE20+AH20+AK20+AN20+AQ20+AT20+AW20+AZ20+S20+BI20+AB20</f>
        <v>394.41522</v>
      </c>
      <c r="BM20" s="551">
        <f t="shared" si="3"/>
        <v>31.242244792235997</v>
      </c>
      <c r="BN20" s="222"/>
      <c r="BO20" s="198"/>
    </row>
    <row r="21" spans="1:67" ht="30.75" customHeight="1">
      <c r="A21" s="505" t="s">
        <v>26</v>
      </c>
      <c r="B21" s="559" t="s">
        <v>177</v>
      </c>
      <c r="C21" s="542">
        <f>SUM('Ф1'!C21)+'Ф2'!C21+'Ф3'!C21</f>
        <v>0</v>
      </c>
      <c r="D21" s="543">
        <f>SUM('Ф1'!D21)+'Ф2'!D21+'Ф3'!D21</f>
        <v>0</v>
      </c>
      <c r="E21" s="544">
        <v>0</v>
      </c>
      <c r="F21" s="543">
        <f>SUM('Ф1'!F21)+'Ф2'!F21+'Ф3'!F21</f>
        <v>130</v>
      </c>
      <c r="G21" s="543">
        <f>SUM('Ф1'!G21)+'Ф2'!G21+'Ф3'!G21</f>
        <v>37.92041</v>
      </c>
      <c r="H21" s="544">
        <f t="shared" si="12"/>
        <v>29.16954615384615</v>
      </c>
      <c r="I21" s="542">
        <f>SUM('Ф1'!I21)+'Ф2'!I21+'Ф3'!I21</f>
        <v>0</v>
      </c>
      <c r="J21" s="543">
        <f>SUM('Ф1'!J21)+'Ф2'!J21+'Ф3'!J21</f>
        <v>0</v>
      </c>
      <c r="K21" s="547"/>
      <c r="L21" s="542">
        <f>SUM('Ф1'!L21)+'Ф2'!L21+'Ф3'!L21</f>
        <v>0</v>
      </c>
      <c r="M21" s="543">
        <f>SUM('Ф1'!M21)+'Ф2'!M21+'Ф3'!M21</f>
        <v>0</v>
      </c>
      <c r="N21" s="551"/>
      <c r="O21" s="542">
        <f>SUM('Ф1'!AB21)+'Ф2'!AD21+'Ф3'!AB21</f>
        <v>0</v>
      </c>
      <c r="P21" s="543">
        <f>SUM('Ф1'!AC21)+'Ф2'!AE21+'Ф3'!AC21</f>
        <v>2.1</v>
      </c>
      <c r="Q21" s="544"/>
      <c r="R21" s="542">
        <f>'Ф3'!AN21</f>
        <v>0</v>
      </c>
      <c r="S21" s="549">
        <f>'Ф3'!AO21</f>
        <v>0</v>
      </c>
      <c r="T21" s="552" t="e">
        <f t="shared" si="4"/>
        <v>#DIV/0!</v>
      </c>
      <c r="U21" s="542">
        <f>SUM('Ф1'!AN21)+'Ф2'!AP21+'Ф3'!AQ21</f>
        <v>228.16232</v>
      </c>
      <c r="V21" s="549">
        <f>SUM('Ф1'!AO21)+'Ф2'!AQ21+'Ф3'!AR21</f>
        <v>228.137</v>
      </c>
      <c r="W21" s="544">
        <f t="shared" si="9"/>
        <v>0.9998890263738552</v>
      </c>
      <c r="X21" s="542"/>
      <c r="Y21" s="543"/>
      <c r="Z21" s="553"/>
      <c r="AA21" s="560">
        <f>'Ф2'!AW21</f>
        <v>0</v>
      </c>
      <c r="AB21" s="561">
        <f>'Ф2'!AX21</f>
        <v>2.7112</v>
      </c>
      <c r="AC21" s="562" t="e">
        <f t="shared" si="7"/>
        <v>#DIV/0!</v>
      </c>
      <c r="AD21" s="543"/>
      <c r="AE21" s="543"/>
      <c r="AF21" s="544"/>
      <c r="AG21" s="542">
        <f>SUM('Ф1'!BB21)+'Ф2'!BC21+'Ф3'!BF21</f>
        <v>0</v>
      </c>
      <c r="AH21" s="543">
        <f>SUM('Ф1'!BC21)+'Ф2'!BD21+'Ф3'!BG21</f>
        <v>0</v>
      </c>
      <c r="AI21" s="553"/>
      <c r="AJ21" s="560">
        <f>SUM('Ф1'!BE21)+'Ф2'!BF21+'Ф3'!BI21</f>
        <v>45</v>
      </c>
      <c r="AK21" s="561">
        <f>SUM('Ф1'!BF21)+'Ф2'!BG21+'Ф3'!BJ21</f>
        <v>0</v>
      </c>
      <c r="AL21" s="544">
        <f t="shared" si="10"/>
        <v>0</v>
      </c>
      <c r="AM21" s="633">
        <f>SUM('Ф1'!BI21)+'Ф2'!BJ21+'Ф3'!BM21</f>
        <v>0</v>
      </c>
      <c r="AN21" s="634">
        <f>SUM('Ф1'!BJ21)+'Ф2'!BK21+'Ф3'!BN21</f>
        <v>0</v>
      </c>
      <c r="AO21" s="544"/>
      <c r="AP21" s="542">
        <f>SUM('Ф1'!BL21)+'Ф2'!BM21+'Ф3'!BP21</f>
        <v>0</v>
      </c>
      <c r="AQ21" s="543">
        <f>SUM('Ф1'!BM21)+'Ф2'!BN21+'Ф3'!BQ21</f>
        <v>0</v>
      </c>
      <c r="AR21" s="551"/>
      <c r="AS21" s="560">
        <f>SUM('Ф1'!BO21)+'Ф2'!BP21+'Ф3'!BS21</f>
        <v>9.88051</v>
      </c>
      <c r="AT21" s="561">
        <f>SUM('Ф1'!BP21)+'Ф2'!BQ21+'Ф3'!BT21</f>
        <v>9.55</v>
      </c>
      <c r="AU21" s="551">
        <v>0</v>
      </c>
      <c r="AV21" s="543">
        <f>SUM('Ф1'!BR21)+'Ф2'!BS21+'Ф3'!BV21</f>
        <v>0</v>
      </c>
      <c r="AW21" s="543">
        <f>SUM('Ф1'!BS21)+'Ф2'!BT21+'Ф3'!BW21</f>
        <v>0</v>
      </c>
      <c r="AX21" s="544"/>
      <c r="AY21" s="542">
        <f>SUM('Ф1'!BV21)+'Ф2'!BZ21+'Ф3'!BZ21</f>
        <v>400</v>
      </c>
      <c r="AZ21" s="543">
        <f>SUM('Ф1'!BW21)+'Ф2'!CA21+'Ф3'!CA21</f>
        <v>400</v>
      </c>
      <c r="BA21" s="544">
        <f>(AZ21/AY21)*100</f>
        <v>100</v>
      </c>
      <c r="BB21" s="560">
        <f>'Ф3'!CI21</f>
        <v>0</v>
      </c>
      <c r="BC21" s="561">
        <f>'Ф3'!CJ21</f>
        <v>0</v>
      </c>
      <c r="BD21" s="562" t="e">
        <f t="shared" si="5"/>
        <v>#DIV/0!</v>
      </c>
      <c r="BE21" s="542">
        <f>SUM('Ф1'!BY21)+'Ф2'!CC21+'Ф3'!CF21</f>
        <v>0</v>
      </c>
      <c r="BF21" s="557"/>
      <c r="BG21" s="555" t="e">
        <f t="shared" si="2"/>
        <v>#DIV/0!</v>
      </c>
      <c r="BH21" s="560">
        <f>'Ф3'!CC21</f>
        <v>0</v>
      </c>
      <c r="BI21" s="561">
        <f>'Ф3'!CD21</f>
        <v>0</v>
      </c>
      <c r="BJ21" s="562"/>
      <c r="BK21" s="563">
        <f>C21+F21+I21+L21+R21+U21+X21+AD21+AG21+AJ21+AM21+AP21+AS21+AV21+AY21+O21</f>
        <v>813.0428300000001</v>
      </c>
      <c r="BL21" s="561">
        <f>D21+G21+J21+M21+P21+V21+Y21+AE21+AH21+AK21+AN21+AQ21+AT21+AW21+AZ21+S21+AB21</f>
        <v>680.41861</v>
      </c>
      <c r="BM21" s="551">
        <f t="shared" si="3"/>
        <v>83.6879171543767</v>
      </c>
      <c r="BN21" s="197"/>
      <c r="BO21" s="198"/>
    </row>
    <row r="22" spans="1:67" ht="29.25" customHeight="1">
      <c r="A22" s="505" t="s">
        <v>27</v>
      </c>
      <c r="B22" s="564" t="s">
        <v>162</v>
      </c>
      <c r="C22" s="542">
        <f>SUM('Ф1'!C22)+'Ф2'!C22+'Ф3'!C22</f>
        <v>0</v>
      </c>
      <c r="D22" s="543">
        <f>SUM('Ф1'!D22)+'Ф2'!D22+'Ф3'!D22</f>
        <v>0</v>
      </c>
      <c r="E22" s="544">
        <v>0</v>
      </c>
      <c r="F22" s="543">
        <f>SUM('Ф1'!F22)+'Ф2'!F22+'Ф3'!F22</f>
        <v>526.525</v>
      </c>
      <c r="G22" s="543">
        <f>SUM('Ф1'!G22)+'Ф2'!G22+'Ф3'!G22</f>
        <v>135.50862999999998</v>
      </c>
      <c r="H22" s="544">
        <f t="shared" si="12"/>
        <v>25.736409477232797</v>
      </c>
      <c r="I22" s="542">
        <f>SUM('Ф1'!I22)+'Ф2'!I22+'Ф3'!I22</f>
        <v>0</v>
      </c>
      <c r="J22" s="543">
        <f>SUM('Ф1'!J22)+'Ф2'!J22+'Ф3'!J22</f>
        <v>0</v>
      </c>
      <c r="K22" s="547"/>
      <c r="L22" s="542">
        <f>SUM('Ф1'!L22)+'Ф2'!L22+'Ф3'!L22</f>
        <v>0</v>
      </c>
      <c r="M22" s="543">
        <f>SUM('Ф1'!M22)+'Ф2'!M22+'Ф3'!M22</f>
        <v>0</v>
      </c>
      <c r="N22" s="551"/>
      <c r="O22" s="542">
        <f>SUM('Ф1'!AB22)+'Ф2'!AD22+'Ф3'!AB22</f>
        <v>667.775</v>
      </c>
      <c r="P22" s="543">
        <f>SUM('Ф1'!AC22)+'Ф2'!AE22+'Ф3'!AC22</f>
        <v>338.51691</v>
      </c>
      <c r="Q22" s="544">
        <f t="shared" si="6"/>
        <v>50.69325895698401</v>
      </c>
      <c r="R22" s="542">
        <f>'Ф3'!AN22</f>
        <v>0</v>
      </c>
      <c r="S22" s="549">
        <f>'Ф3'!AO22</f>
        <v>0</v>
      </c>
      <c r="T22" s="552" t="e">
        <f t="shared" si="4"/>
        <v>#DIV/0!</v>
      </c>
      <c r="U22" s="542">
        <f>SUM('Ф1'!AN22)+'Ф2'!AP22+'Ф3'!AQ22</f>
        <v>345</v>
      </c>
      <c r="V22" s="549">
        <f>SUM('Ф1'!AO22)+'Ф2'!AQ22+'Ф3'!AR22</f>
        <v>2.3312</v>
      </c>
      <c r="W22" s="544">
        <f t="shared" si="9"/>
        <v>0.006757101449275362</v>
      </c>
      <c r="X22" s="542"/>
      <c r="Y22" s="543"/>
      <c r="Z22" s="553"/>
      <c r="AA22" s="560">
        <f>'Ф2'!AW22</f>
        <v>0</v>
      </c>
      <c r="AB22" s="561">
        <f>'Ф2'!AX22</f>
        <v>0</v>
      </c>
      <c r="AC22" s="562" t="e">
        <f t="shared" si="7"/>
        <v>#DIV/0!</v>
      </c>
      <c r="AD22" s="543"/>
      <c r="AE22" s="543"/>
      <c r="AF22" s="544"/>
      <c r="AG22" s="542">
        <f>SUM('Ф1'!BB22)+'Ф2'!BC22+'Ф3'!BF22</f>
        <v>0</v>
      </c>
      <c r="AH22" s="543">
        <f>SUM('Ф1'!BC22)+'Ф2'!BD22+'Ф3'!BG22</f>
        <v>0</v>
      </c>
      <c r="AI22" s="553"/>
      <c r="AJ22" s="560">
        <f>SUM('Ф1'!BE22)+'Ф2'!BF22+'Ф3'!BI22</f>
        <v>92.416</v>
      </c>
      <c r="AK22" s="561">
        <f>SUM('Ф1'!BF22)+'Ф2'!BG22+'Ф3'!BJ22</f>
        <v>92.4048</v>
      </c>
      <c r="AL22" s="544">
        <f t="shared" si="10"/>
        <v>99.9878808864266</v>
      </c>
      <c r="AM22" s="633">
        <f>SUM('Ф1'!BI22)+'Ф2'!BJ22+'Ф3'!BM22</f>
        <v>0</v>
      </c>
      <c r="AN22" s="634">
        <f>SUM('Ф1'!BJ22)+'Ф2'!BK22+'Ф3'!BN22</f>
        <v>0</v>
      </c>
      <c r="AO22" s="544"/>
      <c r="AP22" s="542">
        <f>SUM('Ф1'!BL22)+'Ф2'!BM22+'Ф3'!BP22</f>
        <v>400</v>
      </c>
      <c r="AQ22" s="543">
        <f>SUM('Ф1'!BM22)+'Ф2'!BN22+'Ф3'!BQ22</f>
        <v>397.28372</v>
      </c>
      <c r="AR22" s="551">
        <f t="shared" si="1"/>
        <v>99.32093</v>
      </c>
      <c r="AS22" s="560">
        <f>SUM('Ф1'!BO22)+'Ф2'!BP22+'Ф3'!BS22</f>
        <v>2.5</v>
      </c>
      <c r="AT22" s="561">
        <f>SUM('Ф1'!BP22)+'Ф2'!BQ22+'Ф3'!BT22</f>
        <v>0.16884</v>
      </c>
      <c r="AU22" s="551">
        <f>SUM(AT22/AS22*100)</f>
        <v>6.7536</v>
      </c>
      <c r="AV22" s="543">
        <f>SUM('Ф1'!BR22)+'Ф2'!BS22+'Ф3'!BV22</f>
        <v>0</v>
      </c>
      <c r="AW22" s="543">
        <f>SUM('Ф1'!BS22)+'Ф2'!BT22+'Ф3'!BW22</f>
        <v>0</v>
      </c>
      <c r="AX22" s="544"/>
      <c r="AY22" s="542">
        <f>SUM('Ф1'!BV22)+'Ф2'!BZ22+'Ф3'!BZ22</f>
        <v>710.5</v>
      </c>
      <c r="AZ22" s="543">
        <f>SUM('Ф1'!BW22)+'Ф2'!CA22+'Ф3'!CA22</f>
        <v>0</v>
      </c>
      <c r="BA22" s="544"/>
      <c r="BB22" s="560">
        <f>'Ф3'!CI22</f>
        <v>0</v>
      </c>
      <c r="BC22" s="561">
        <f>'Ф3'!CJ22</f>
        <v>0</v>
      </c>
      <c r="BD22" s="562"/>
      <c r="BE22" s="542">
        <f>SUM('Ф1'!BY22)+'Ф2'!CC22+'Ф3'!CF22</f>
        <v>0</v>
      </c>
      <c r="BF22" s="557"/>
      <c r="BG22" s="555" t="e">
        <f t="shared" si="2"/>
        <v>#DIV/0!</v>
      </c>
      <c r="BH22" s="560">
        <f>'Ф3'!CC22</f>
        <v>0</v>
      </c>
      <c r="BI22" s="561">
        <f>'Ф3'!CD22</f>
        <v>0</v>
      </c>
      <c r="BJ22" s="562"/>
      <c r="BK22" s="563">
        <f>C22+F22+I22+L22+R22+U22+X22+AD22+AG22+AJ22+AM22+AP22+AS22+AV22+AY22+O22</f>
        <v>2744.716</v>
      </c>
      <c r="BL22" s="561">
        <f>D22+G22+J22+M22+P22+V22+Y22+AE22+AH22+AK22+AN22+AQ22+AT22+AW22+AZ22+S22+AB22</f>
        <v>966.2141</v>
      </c>
      <c r="BM22" s="551">
        <f t="shared" si="3"/>
        <v>35.202698566992</v>
      </c>
      <c r="BN22" s="197"/>
      <c r="BO22" s="198"/>
    </row>
    <row r="23" spans="1:67" ht="30.75" customHeight="1">
      <c r="A23" s="505" t="s">
        <v>28</v>
      </c>
      <c r="B23" s="564" t="s">
        <v>163</v>
      </c>
      <c r="C23" s="542">
        <f>SUM('Ф1'!C23)+'Ф2'!C23+'Ф3'!C23</f>
        <v>30</v>
      </c>
      <c r="D23" s="543">
        <f>SUM('Ф1'!D23)+'Ф2'!D23+'Ф3'!D23</f>
        <v>24.567</v>
      </c>
      <c r="E23" s="544">
        <f t="shared" si="11"/>
        <v>81.89</v>
      </c>
      <c r="F23" s="543">
        <f>SUM('Ф1'!F23)+'Ф2'!F23+'Ф3'!F23</f>
        <v>258.47207</v>
      </c>
      <c r="G23" s="543">
        <f>SUM('Ф1'!G23)+'Ф2'!G23+'Ф3'!G23</f>
        <v>85.53633</v>
      </c>
      <c r="H23" s="544">
        <f t="shared" si="12"/>
        <v>33.09306494895174</v>
      </c>
      <c r="I23" s="542">
        <f>SUM('Ф1'!I23)+'Ф2'!I23+'Ф3'!I23</f>
        <v>0</v>
      </c>
      <c r="J23" s="543">
        <f>SUM('Ф1'!J23)+'Ф2'!J23+'Ф3'!J23</f>
        <v>0</v>
      </c>
      <c r="K23" s="547"/>
      <c r="L23" s="542">
        <f>SUM('Ф1'!L23)+'Ф2'!L23+'Ф3'!L23</f>
        <v>0</v>
      </c>
      <c r="M23" s="543">
        <f>SUM('Ф1'!M23)+'Ф2'!M23+'Ф3'!M23</f>
        <v>0</v>
      </c>
      <c r="N23" s="551"/>
      <c r="O23" s="542">
        <f>SUM('Ф1'!AB23)+'Ф2'!AD23+'Ф3'!AB23</f>
        <v>0</v>
      </c>
      <c r="P23" s="543">
        <f>SUM('Ф1'!AC23)+'Ф2'!AE23+'Ф3'!AC23</f>
        <v>0</v>
      </c>
      <c r="Q23" s="552" t="e">
        <f>(P23/O23)*100</f>
        <v>#DIV/0!</v>
      </c>
      <c r="R23" s="542">
        <f>'Ф3'!AN23</f>
        <v>0</v>
      </c>
      <c r="S23" s="549">
        <f>'Ф3'!AO23</f>
        <v>0</v>
      </c>
      <c r="T23" s="552" t="e">
        <f t="shared" si="4"/>
        <v>#DIV/0!</v>
      </c>
      <c r="U23" s="542">
        <f>SUM('Ф1'!AN23)+'Ф2'!AP23+'Ф3'!AQ23</f>
        <v>3</v>
      </c>
      <c r="V23" s="549">
        <f>SUM('Ф1'!AO23)+'Ф2'!AQ23+'Ф3'!AR23</f>
        <v>0</v>
      </c>
      <c r="W23" s="544">
        <f t="shared" si="9"/>
        <v>0</v>
      </c>
      <c r="X23" s="542"/>
      <c r="Y23" s="543"/>
      <c r="Z23" s="553"/>
      <c r="AA23" s="560">
        <f>'Ф2'!AW23</f>
        <v>0</v>
      </c>
      <c r="AB23" s="561">
        <f>'Ф2'!AX23</f>
        <v>1.28652</v>
      </c>
      <c r="AC23" s="562" t="e">
        <f t="shared" si="7"/>
        <v>#DIV/0!</v>
      </c>
      <c r="AD23" s="543"/>
      <c r="AE23" s="543"/>
      <c r="AF23" s="544"/>
      <c r="AG23" s="542">
        <f>SUM('Ф1'!BB23)+'Ф2'!BC23+'Ф3'!BF23</f>
        <v>0</v>
      </c>
      <c r="AH23" s="543">
        <f>SUM('Ф1'!BC23)+'Ф2'!BD23+'Ф3'!BG23</f>
        <v>0</v>
      </c>
      <c r="AI23" s="553"/>
      <c r="AJ23" s="560">
        <f>SUM('Ф1'!BE23)+'Ф2'!BF23+'Ф3'!BI23</f>
        <v>155.3</v>
      </c>
      <c r="AK23" s="561">
        <f>SUM('Ф1'!BF23)+'Ф2'!BG23+'Ф3'!BJ23</f>
        <v>78.576</v>
      </c>
      <c r="AL23" s="544">
        <f t="shared" si="10"/>
        <v>50.59626529298132</v>
      </c>
      <c r="AM23" s="633">
        <f>SUM('Ф1'!BI23)+'Ф2'!BJ23+'Ф3'!BM23</f>
        <v>0</v>
      </c>
      <c r="AN23" s="634">
        <f>SUM('Ф1'!BJ23)+'Ф2'!BK23+'Ф3'!BN23</f>
        <v>0</v>
      </c>
      <c r="AO23" s="544"/>
      <c r="AP23" s="542">
        <f>SUM('Ф1'!BL23)+'Ф2'!BM23+'Ф3'!BP23</f>
        <v>0</v>
      </c>
      <c r="AQ23" s="543">
        <f>SUM('Ф1'!BM23)+'Ф2'!BN23+'Ф3'!BQ23</f>
        <v>0</v>
      </c>
      <c r="AR23" s="551"/>
      <c r="AS23" s="560">
        <f>SUM('Ф1'!BO23)+'Ф2'!BP23+'Ф3'!BS23</f>
        <v>190.41208</v>
      </c>
      <c r="AT23" s="561">
        <f>SUM('Ф1'!BP23)+'Ф2'!BQ23+'Ф3'!BT23</f>
        <v>0</v>
      </c>
      <c r="AU23" s="551">
        <f>SUM(AT23/AS23*100)</f>
        <v>0</v>
      </c>
      <c r="AV23" s="543">
        <f>SUM('Ф1'!BR23)+'Ф2'!BS23+'Ф3'!BV23</f>
        <v>0</v>
      </c>
      <c r="AW23" s="543">
        <f>SUM('Ф1'!BS23)+'Ф2'!BT23+'Ф3'!BW23</f>
        <v>0</v>
      </c>
      <c r="AX23" s="544"/>
      <c r="AY23" s="542">
        <f>SUM('Ф1'!BV23)+'Ф2'!BZ23+'Ф3'!BZ23</f>
        <v>750</v>
      </c>
      <c r="AZ23" s="543">
        <f>SUM('Ф1'!BW23)+'Ф2'!CA23+'Ф3'!CA23</f>
        <v>0</v>
      </c>
      <c r="BA23" s="544">
        <f>(AZ23/AY23)*100</f>
        <v>0</v>
      </c>
      <c r="BB23" s="560">
        <f>'Ф3'!CI23</f>
        <v>0</v>
      </c>
      <c r="BC23" s="561">
        <f>'Ф3'!CJ23</f>
        <v>0</v>
      </c>
      <c r="BD23" s="562" t="e">
        <f t="shared" si="5"/>
        <v>#DIV/0!</v>
      </c>
      <c r="BE23" s="542">
        <f>SUM('Ф1'!BY23)+'Ф2'!CC23+'Ф3'!CF23</f>
        <v>0</v>
      </c>
      <c r="BF23" s="557"/>
      <c r="BG23" s="555" t="e">
        <f t="shared" si="2"/>
        <v>#DIV/0!</v>
      </c>
      <c r="BH23" s="560">
        <f>'Ф3'!CC23</f>
        <v>0</v>
      </c>
      <c r="BI23" s="561">
        <f>'Ф3'!CD23</f>
        <v>0</v>
      </c>
      <c r="BJ23" s="562" t="e">
        <f>BI23/BH23*100</f>
        <v>#DIV/0!</v>
      </c>
      <c r="BK23" s="563">
        <f>C23+F23+I23+L23+R23+U23+X23+AD23+AG23+AJ23+AM23+AP23+AS23+AV23+AY23+O23+BH23</f>
        <v>1387.18415</v>
      </c>
      <c r="BL23" s="561">
        <f>D23+G23+J23+M23+P23+V23+Y23+AE23+AH23+AK23+AN23+AQ23+AT23+AW23+AZ23+S23+BI23+AB23</f>
        <v>189.96585</v>
      </c>
      <c r="BM23" s="551">
        <f t="shared" si="3"/>
        <v>13.694349809288116</v>
      </c>
      <c r="BN23" s="197"/>
      <c r="BO23" s="198"/>
    </row>
    <row r="24" spans="1:67" ht="32.25" customHeight="1" thickBot="1">
      <c r="A24" s="505" t="s">
        <v>29</v>
      </c>
      <c r="B24" s="567" t="s">
        <v>164</v>
      </c>
      <c r="C24" s="568">
        <f>SUM('Ф1'!C24)+'Ф2'!C24+'Ф3'!C24</f>
        <v>0</v>
      </c>
      <c r="D24" s="569">
        <f>SUM('Ф1'!D24)+'Ф2'!D24+'Ф3'!D24</f>
        <v>0</v>
      </c>
      <c r="E24" s="544">
        <v>0</v>
      </c>
      <c r="F24" s="571">
        <f>SUM('Ф1'!F24)+'Ф2'!F24+'Ф3'!F24</f>
        <v>311.111</v>
      </c>
      <c r="G24" s="571">
        <f>SUM('Ф1'!G24)+'Ф2'!G24+'Ф3'!G24</f>
        <v>117.98089</v>
      </c>
      <c r="H24" s="572">
        <f t="shared" si="12"/>
        <v>37.92244247230088</v>
      </c>
      <c r="I24" s="573">
        <f>SUM('Ф1'!I24)+'Ф2'!I24+'Ф3'!I24</f>
        <v>0</v>
      </c>
      <c r="J24" s="571">
        <f>SUM('Ф1'!J24)+'Ф2'!J24+'Ф3'!J24</f>
        <v>0</v>
      </c>
      <c r="K24" s="574"/>
      <c r="L24" s="568">
        <f>SUM('Ф1'!L24)+'Ф2'!L24+'Ф3'!L24</f>
        <v>0</v>
      </c>
      <c r="M24" s="569">
        <f>SUM('Ф1'!M24)+'Ф2'!M24+'Ф3'!M24</f>
        <v>0</v>
      </c>
      <c r="N24" s="575"/>
      <c r="O24" s="573">
        <f>SUM('Ф1'!AB24)+'Ф2'!AD24+'Ф3'!AB24</f>
        <v>50</v>
      </c>
      <c r="P24" s="543">
        <f>SUM('Ф1'!AC24)+'Ф2'!AE24+'Ф3'!AC24</f>
        <v>6.32863</v>
      </c>
      <c r="Q24" s="572">
        <f>(P24/O24)*100</f>
        <v>12.65726</v>
      </c>
      <c r="R24" s="573">
        <f>'Ф3'!AN24</f>
        <v>0</v>
      </c>
      <c r="S24" s="579">
        <f>'Ф3'!AO24</f>
        <v>0</v>
      </c>
      <c r="T24" s="552" t="e">
        <f t="shared" si="4"/>
        <v>#DIV/0!</v>
      </c>
      <c r="U24" s="573">
        <f>SUM('Ф1'!AN24)+'Ф2'!AP24+'Ф3'!AQ24</f>
        <v>0.36108</v>
      </c>
      <c r="V24" s="579">
        <f>SUM('Ф1'!AO24)+'Ф2'!AQ24+'Ф3'!AR24</f>
        <v>0</v>
      </c>
      <c r="W24" s="544">
        <f t="shared" si="9"/>
        <v>0</v>
      </c>
      <c r="X24" s="568"/>
      <c r="Y24" s="569"/>
      <c r="Z24" s="553"/>
      <c r="AA24" s="560">
        <f>'Ф2'!AW24</f>
        <v>0</v>
      </c>
      <c r="AB24" s="561">
        <f>'Ф2'!AX24</f>
        <v>0</v>
      </c>
      <c r="AC24" s="562" t="e">
        <f t="shared" si="7"/>
        <v>#DIV/0!</v>
      </c>
      <c r="AD24" s="569"/>
      <c r="AE24" s="569"/>
      <c r="AF24" s="572"/>
      <c r="AG24" s="568">
        <f>SUM('Ф1'!BB24)+'Ф2'!BC24+'Ф3'!BF24</f>
        <v>0</v>
      </c>
      <c r="AH24" s="569">
        <f>SUM('Ф1'!BC24)+'Ф2'!BD24+'Ф3'!BG24</f>
        <v>0</v>
      </c>
      <c r="AI24" s="547" t="e">
        <f>(AH24/AG24)*100</f>
        <v>#DIV/0!</v>
      </c>
      <c r="AJ24" s="580">
        <f>SUM('Ф1'!BE24)+'Ф2'!BF24+'Ф3'!BI24</f>
        <v>80</v>
      </c>
      <c r="AK24" s="581">
        <f>SUM('Ф1'!BF24)+'Ф2'!BG24+'Ф3'!BJ24</f>
        <v>0</v>
      </c>
      <c r="AL24" s="544">
        <f t="shared" si="10"/>
        <v>0</v>
      </c>
      <c r="AM24" s="636">
        <f>SUM('Ф1'!BI24)+'Ф2'!BJ24+'Ф3'!BM24</f>
        <v>0</v>
      </c>
      <c r="AN24" s="637">
        <f>SUM('Ф1'!BJ24)+'Ф2'!BK24+'Ф3'!BN24</f>
        <v>0</v>
      </c>
      <c r="AO24" s="572"/>
      <c r="AP24" s="568">
        <f>SUM('Ф1'!BL24)+'Ф2'!BM24+'Ф3'!BP24</f>
        <v>10.13625</v>
      </c>
      <c r="AQ24" s="569">
        <f>SUM('Ф1'!BM24)+'Ф2'!BN24+'Ф3'!BQ24</f>
        <v>10.13625</v>
      </c>
      <c r="AR24" s="551">
        <f t="shared" si="1"/>
        <v>100</v>
      </c>
      <c r="AS24" s="576">
        <f>SUM('Ф1'!BO24)+'Ф2'!BP24+'Ф3'!BS24</f>
        <v>4.10651</v>
      </c>
      <c r="AT24" s="577">
        <f>SUM('Ф1'!BP24)+'Ф2'!BQ24+'Ф3'!BT24</f>
        <v>3.9</v>
      </c>
      <c r="AU24" s="578">
        <f>SUM(AT24/AS24*100)</f>
        <v>94.97115555544731</v>
      </c>
      <c r="AV24" s="571">
        <f>SUM('Ф1'!BR24)+'Ф2'!BS24+'Ф3'!BV24</f>
        <v>0</v>
      </c>
      <c r="AW24" s="571">
        <f>SUM('Ф1'!BS24)+'Ф2'!BT24+'Ф3'!BW24</f>
        <v>0</v>
      </c>
      <c r="AX24" s="572"/>
      <c r="AY24" s="573">
        <f>SUM('Ф1'!BV24)+'Ф2'!BZ24+'Ф3'!BZ24</f>
        <v>0</v>
      </c>
      <c r="AZ24" s="571">
        <f>SUM('Ф1'!BW24)+'Ф2'!CA24+'Ф3'!CA24</f>
        <v>0</v>
      </c>
      <c r="BA24" s="552" t="e">
        <f>(AZ24/AY24)*100</f>
        <v>#DIV/0!</v>
      </c>
      <c r="BB24" s="580">
        <f>'Ф3'!CI24</f>
        <v>0</v>
      </c>
      <c r="BC24" s="581">
        <f>'Ф3'!CJ24</f>
        <v>0</v>
      </c>
      <c r="BD24" s="582" t="e">
        <f t="shared" si="5"/>
        <v>#DIV/0!</v>
      </c>
      <c r="BE24" s="568">
        <f>SUM('Ф1'!BY24)+'Ф2'!CC24+'Ф3'!CF24</f>
        <v>0</v>
      </c>
      <c r="BF24" s="557"/>
      <c r="BG24" s="594" t="e">
        <f t="shared" si="2"/>
        <v>#DIV/0!</v>
      </c>
      <c r="BH24" s="580">
        <f>'Ф3'!CC24</f>
        <v>0</v>
      </c>
      <c r="BI24" s="581">
        <f>'Ф3'!CD24</f>
        <v>0</v>
      </c>
      <c r="BJ24" s="575"/>
      <c r="BK24" s="583">
        <f>C24+F24+I24+L24+R24+U24+X24+AD24+AG24+AJ24+AM24+AP24+AS24+AV24+AY24+O24</f>
        <v>455.71484000000004</v>
      </c>
      <c r="BL24" s="543">
        <f>D24+G24+J24+M24+P24+V24+Y24+AE24+AH24+AK24+AN24+AQ24+AT24+AW24+AZ24+S24+AB24</f>
        <v>138.34577000000002</v>
      </c>
      <c r="BM24" s="578">
        <f t="shared" si="3"/>
        <v>30.357969031686572</v>
      </c>
      <c r="BN24" s="197"/>
      <c r="BO24" s="198"/>
    </row>
    <row r="25" spans="1:67" ht="25.5">
      <c r="A25" s="492"/>
      <c r="B25" s="584" t="s">
        <v>166</v>
      </c>
      <c r="C25" s="545">
        <f>SUM('Ф1'!C25)+'Ф2'!C25+'Ф3'!C25</f>
        <v>300.23181</v>
      </c>
      <c r="D25" s="546">
        <f>SUM('Ф1'!D25)+'Ф2'!D25+'Ф3'!D25</f>
        <v>208.29314</v>
      </c>
      <c r="E25" s="548">
        <f>(D25/C25)*100</f>
        <v>69.37743871976791</v>
      </c>
      <c r="F25" s="545">
        <f>SUM('Ф1'!F25)+'Ф2'!F25+'Ф3'!F25</f>
        <v>3070.1080699999998</v>
      </c>
      <c r="G25" s="546">
        <f>SUM('Ф1'!G25)+'Ф2'!G25+'Ф3'!G25</f>
        <v>963.6633499999999</v>
      </c>
      <c r="H25" s="548">
        <f>SUM(G25/F25*100)</f>
        <v>31.388580728365046</v>
      </c>
      <c r="I25" s="545">
        <f>SUM('Ф1'!I25)+'Ф2'!I25+'Ф3'!I25</f>
        <v>189.5</v>
      </c>
      <c r="J25" s="585">
        <f>SUM('Ф1'!J25)+'Ф2'!J25+'Ф3'!J25</f>
        <v>127.9</v>
      </c>
      <c r="K25" s="590">
        <f>SUM(J25/I25*100)</f>
        <v>67.4934036939314</v>
      </c>
      <c r="L25" s="546">
        <f>SUM('Ф1'!L25)+'Ф2'!L25+'Ф3'!L25</f>
        <v>0</v>
      </c>
      <c r="M25" s="546">
        <f>SUM('Ф1'!M25)+'Ф2'!M25+'Ф3'!M25</f>
        <v>0</v>
      </c>
      <c r="N25" s="548"/>
      <c r="O25" s="545">
        <f>SUM('Ф1'!AB25)+'Ф2'!AD25+'Ф3'!AB25</f>
        <v>1717.8732799999998</v>
      </c>
      <c r="P25" s="546">
        <f>SUM('Ф1'!AC25)+'Ф2'!AE25+'Ф3'!AC25</f>
        <v>773.1693200000001</v>
      </c>
      <c r="Q25" s="548">
        <f>SUM(P25/O25*100)</f>
        <v>45.00735467519468</v>
      </c>
      <c r="R25" s="545">
        <f>SUM(R6:R24)</f>
        <v>146</v>
      </c>
      <c r="S25" s="546">
        <f>SUM(S6:S24)</f>
        <v>0</v>
      </c>
      <c r="T25" s="587">
        <f>S25/R25*100</f>
        <v>0</v>
      </c>
      <c r="U25" s="545">
        <f>SUM('Ф1'!AN25)+'Ф2'!AP25+'Ф3'!AQ25</f>
        <v>840.74315</v>
      </c>
      <c r="V25" s="546">
        <f>SUM('Ф1'!AO25)+'Ф2'!AQ25+'Ф3'!AR25</f>
        <v>252.55819</v>
      </c>
      <c r="W25" s="548">
        <f>(V25/U25)*100</f>
        <v>30.03987484168024</v>
      </c>
      <c r="X25" s="542">
        <f>SUM('Ф1'!AV25)+'Ф2'!AT25</f>
        <v>0</v>
      </c>
      <c r="Y25" s="543">
        <f>SUM('Ф1'!AW25)+'Ф2'!AU25</f>
        <v>0</v>
      </c>
      <c r="Z25" s="586"/>
      <c r="AA25" s="545">
        <f>SUM(AA6:AA24)</f>
        <v>0</v>
      </c>
      <c r="AB25" s="554">
        <f>SUM(AB6:AB24)</f>
        <v>24.1302</v>
      </c>
      <c r="AC25" s="587" t="e">
        <f>AB25/AA25*100</f>
        <v>#DIV/0!</v>
      </c>
      <c r="AD25" s="543">
        <f>SUM('Ф1'!AY25)+'Ф2'!AZ25+'Ф3'!BC25</f>
        <v>0</v>
      </c>
      <c r="AE25" s="543">
        <f>SUM('Ф1'!AZ25)+'Ф2'!BA25+'Ф3'!BD25</f>
        <v>0</v>
      </c>
      <c r="AF25" s="548"/>
      <c r="AG25" s="542">
        <f>SUM('Ф1'!BB25)+'Ф2'!BC25+'Ф3'!BF25</f>
        <v>20</v>
      </c>
      <c r="AH25" s="543">
        <f>SUM('Ф1'!BC25)+'Ф2'!Z25+'Ф3'!BG25</f>
        <v>30.8832</v>
      </c>
      <c r="AI25" s="548">
        <f>SUM(AH25/AG25*100)</f>
        <v>154.416</v>
      </c>
      <c r="AJ25" s="545">
        <f>SUM('Ф1'!BE25)+'Ф2'!BF25+'Ф3'!BI25</f>
        <v>1744.6743499999998</v>
      </c>
      <c r="AK25" s="546">
        <f>SUM('Ф1'!BF25)+'Ф2'!BG25+'Ф3'!BJ25</f>
        <v>384.03516</v>
      </c>
      <c r="AL25" s="548">
        <f>SUM(AK25/AJ25*100)</f>
        <v>22.01185338685125</v>
      </c>
      <c r="AM25" s="545">
        <f>SUM('Ф1'!BI25)+'Ф2'!BJ25+'Ф3'!BM25</f>
        <v>0</v>
      </c>
      <c r="AN25" s="546">
        <f>SUM('Ф1'!BJ25)+'Ф2'!BK25+'Ф3'!BN25</f>
        <v>0</v>
      </c>
      <c r="AO25" s="548"/>
      <c r="AP25" s="545">
        <f>SUM('Ф1'!BL25)+'Ф2'!BM25+'Ф3'!BP25</f>
        <v>1566.5766800000001</v>
      </c>
      <c r="AQ25" s="546">
        <f>SUM('Ф1'!BM25)+'Ф2'!BN25+'Ф3'!BQ25</f>
        <v>1237.59919</v>
      </c>
      <c r="AR25" s="548">
        <f t="shared" si="1"/>
        <v>79.00023061750159</v>
      </c>
      <c r="AS25" s="545">
        <f>SUM('Ф1'!BO25)+'Ф2'!BP25+'Ф3'!BS25</f>
        <v>259.24483000000004</v>
      </c>
      <c r="AT25" s="546">
        <f>SUM('Ф1'!BP25)+'Ф2'!BQ25+'Ф3'!BT25</f>
        <v>20.398839999999996</v>
      </c>
      <c r="AU25" s="554">
        <f>SUM(AT25/AS25*100)</f>
        <v>7.868561930434637</v>
      </c>
      <c r="AV25" s="545">
        <f>SUM('Ф1'!BR25)+'Ф2'!BS25+'Ф3'!BV25</f>
        <v>0</v>
      </c>
      <c r="AW25" s="546">
        <f>SUM('Ф1'!BS25)+'Ф2'!BT25+'Ф3'!BW25</f>
        <v>0</v>
      </c>
      <c r="AX25" s="550"/>
      <c r="AY25" s="545">
        <f>SUM('Ф1'!BV25)+'Ф2'!BZ25+'Ф3'!BZ25</f>
        <v>3020.5</v>
      </c>
      <c r="AZ25" s="546">
        <f>SUM('Ф1'!BW25)+'Ф2'!CA25+'Ф3'!CA25</f>
        <v>400</v>
      </c>
      <c r="BA25" s="548">
        <f>(AZ25/AY25)*100</f>
        <v>13.242840589306407</v>
      </c>
      <c r="BB25" s="542"/>
      <c r="BC25" s="549"/>
      <c r="BD25" s="588"/>
      <c r="BE25" s="545">
        <f>SUM('Ф1'!BY25)+'Ф2'!CC25+'Ф3'!CF25</f>
        <v>0</v>
      </c>
      <c r="BF25" s="546">
        <v>0</v>
      </c>
      <c r="BG25" s="704" t="e">
        <f t="shared" si="2"/>
        <v>#DIV/0!</v>
      </c>
      <c r="BH25" s="542">
        <f>SUM(BH6:BH24)</f>
        <v>35</v>
      </c>
      <c r="BI25" s="549">
        <f>SUM(BI6:BI24)</f>
        <v>0</v>
      </c>
      <c r="BJ25" s="549">
        <f>BI25/BH25*100</f>
        <v>0</v>
      </c>
      <c r="BK25" s="546">
        <f>SUM(BK6:BK24)</f>
        <v>12910.45217</v>
      </c>
      <c r="BL25" s="589">
        <f>SUM(BL6:BL24)</f>
        <v>4422.630589999999</v>
      </c>
      <c r="BM25" s="590">
        <f t="shared" si="3"/>
        <v>34.2562021203011</v>
      </c>
      <c r="BN25" s="197"/>
      <c r="BO25" s="198"/>
    </row>
    <row r="26" spans="1:67" ht="26.25" thickBot="1">
      <c r="A26" s="505"/>
      <c r="B26" s="584" t="s">
        <v>44</v>
      </c>
      <c r="C26" s="568">
        <f>SUM('Ф1'!C26)+'Ф2'!C26+'Ф3'!C26</f>
        <v>92.9</v>
      </c>
      <c r="D26" s="569">
        <f>SUM('Ф1'!D26)+'Ф2'!D26+'Ф3'!D26</f>
        <v>46.9336</v>
      </c>
      <c r="E26" s="570">
        <f>(D26/C26)*100</f>
        <v>50.52055974165769</v>
      </c>
      <c r="F26" s="568">
        <f>SUM('Ф1'!F26)+'Ф2'!F26+'Ф3'!F26</f>
        <v>3476.9990000000003</v>
      </c>
      <c r="G26" s="569">
        <f>SUM('Ф1'!G26)+'Ф2'!G26+'Ф3'!G26</f>
        <v>2434.79331</v>
      </c>
      <c r="H26" s="570">
        <f>SUM(G26/F26*100)</f>
        <v>70.0257121155341</v>
      </c>
      <c r="I26" s="568">
        <f>SUM('Ф1'!I26)+'Ф2'!I26+'Ф3'!I26</f>
        <v>0</v>
      </c>
      <c r="J26" s="591">
        <f>SUM('Ф1'!J26)+'Ф2'!J26+'Ф3'!J26</f>
        <v>0</v>
      </c>
      <c r="K26" s="592"/>
      <c r="L26" s="593">
        <f>SUM('Ф1'!L26)+'Ф2'!L26+'Ф3'!L26</f>
        <v>846.5129999999999</v>
      </c>
      <c r="M26" s="569">
        <f>SUM('Ф1'!M26)+'Ф2'!M26+'Ф3'!M26</f>
        <v>636.39489</v>
      </c>
      <c r="N26" s="570">
        <f>SUM(M26/L26*100)</f>
        <v>75.17839537018334</v>
      </c>
      <c r="O26" s="568">
        <f>SUM('Ф1'!AB26)+'Ф2'!AD26+'Ф3'!AB26</f>
        <v>0</v>
      </c>
      <c r="P26" s="569">
        <f>SUM('Ф1'!AC26)+'Ф2'!AE26+'Ф3'!AC26</f>
        <v>0</v>
      </c>
      <c r="Q26" s="570"/>
      <c r="R26" s="580">
        <f>SUM('Ф3'!AN26)</f>
        <v>2960.5</v>
      </c>
      <c r="S26" s="581">
        <f>SUM('Ф3'!AO26)</f>
        <v>400</v>
      </c>
      <c r="T26" s="544">
        <f>(S26/R26)*100</f>
        <v>13.511231210944096</v>
      </c>
      <c r="U26" s="568">
        <f>SUM('Ф1'!AN26)+'Ф2'!AP26+'Ф3'!AQ26</f>
        <v>189.5</v>
      </c>
      <c r="V26" s="569">
        <f>SUM('Ф1'!AO26)+'Ф2'!AQ26+'Ф3'!AR26</f>
        <v>129.48759</v>
      </c>
      <c r="W26" s="570">
        <f>SUM(V26/U26*100)</f>
        <v>68.3311820580475</v>
      </c>
      <c r="X26" s="595">
        <f>SUM('Ф1'!AV26)+'Ф2'!AT26+'Ф3'!AK26</f>
        <v>297.5</v>
      </c>
      <c r="Y26" s="543">
        <f>'Ф1'!AW26+'Ф3'!AL26+'Ф2'!AU26</f>
        <v>85.02815</v>
      </c>
      <c r="Z26" s="594">
        <f>SUM(Y26/X26*100)</f>
        <v>28.58089075630252</v>
      </c>
      <c r="AA26" s="580"/>
      <c r="AB26" s="581"/>
      <c r="AC26" s="582"/>
      <c r="AD26" s="569">
        <f>SUM('Ф1'!AY26)+'Ф2'!AZ26+'Ф3'!BC26</f>
        <v>0</v>
      </c>
      <c r="AE26" s="543">
        <f>SUM('Ф1'!AZ26)+'Ф2'!BA26+'Ф3'!BD26</f>
        <v>9.495</v>
      </c>
      <c r="AF26" s="570"/>
      <c r="AG26" s="568">
        <f>SUM('Ф1'!BB26)+'Ф2'!BC26+'Ф3'!BF26</f>
        <v>0</v>
      </c>
      <c r="AH26" s="543">
        <f>SUM('Ф1'!BC26)+'Ф2'!BD26+'Ф3'!BG26</f>
        <v>0</v>
      </c>
      <c r="AI26" s="570"/>
      <c r="AJ26" s="568">
        <f>SUM('Ф1'!BE26)+'Ф2'!BF26+'Ф3'!BI26</f>
        <v>243</v>
      </c>
      <c r="AK26" s="569">
        <f>SUM('Ф1'!BF26)+'Ф2'!BG26+'Ф3'!BJ26</f>
        <v>0</v>
      </c>
      <c r="AL26" s="570">
        <f>SUM(AK26/AJ26*100)</f>
        <v>0</v>
      </c>
      <c r="AM26" s="580">
        <f>SUM('Ф1'!BI26)+'Ф2'!BJ26+'Ф3'!BM26</f>
        <v>282.5</v>
      </c>
      <c r="AN26" s="569">
        <f>SUM('Ф1'!BJ26)+'Ф2'!BK26+'Ф3'!BN26</f>
        <v>174.924</v>
      </c>
      <c r="AO26" s="570">
        <f>SUM(AN26/AM26*100)</f>
        <v>61.919999999999995</v>
      </c>
      <c r="AP26" s="568">
        <f>SUM('Ф1'!BL26)+'Ф2'!BM26+'Ф3'!BP26</f>
        <v>0</v>
      </c>
      <c r="AQ26" s="569">
        <f>SUM('Ф1'!BM26)+'Ф2'!BN26+'Ф3'!BQ26</f>
        <v>4.398</v>
      </c>
      <c r="AR26" s="570"/>
      <c r="AS26" s="580">
        <f>SUM('Ф1'!BO26)+'Ф2'!BP26+'Ф3'!BS26</f>
        <v>0</v>
      </c>
      <c r="AT26" s="569">
        <f>SUM('Ф1'!BP26)+'Ф2'!BQ26+'Ф3'!BT26</f>
        <v>0</v>
      </c>
      <c r="AU26" s="596"/>
      <c r="AV26" s="597">
        <f>SUM('Ф1'!BR26)+'Ф2'!BS26+'Ф3'!BV26</f>
        <v>322</v>
      </c>
      <c r="AW26" s="593">
        <f>SUM('Ф1'!BS26)+'Ф2'!BT26+'Ф3'!BW26</f>
        <v>322</v>
      </c>
      <c r="AX26" s="570">
        <f>SUM(AW26/AV26*100)</f>
        <v>100</v>
      </c>
      <c r="AY26" s="598">
        <f>SUM('Ф1'!BV26)+'Ф2'!BZ26+'Ф3'!BZ26</f>
        <v>2362.24571</v>
      </c>
      <c r="AZ26" s="599">
        <f>SUM('Ф1'!BW26)+'Ф2'!CA26+'Ф3'!CA26</f>
        <v>0</v>
      </c>
      <c r="BA26" s="600">
        <f>SUM(AZ26/AY26*100)</f>
        <v>0</v>
      </c>
      <c r="BB26" s="601">
        <f>'Ф3'!CI26</f>
        <v>0</v>
      </c>
      <c r="BC26" s="602">
        <f>'Ф3'!CJ26</f>
        <v>0</v>
      </c>
      <c r="BD26" s="603">
        <v>0</v>
      </c>
      <c r="BE26" s="648">
        <f>SUM('Ф1'!BY26)+'Ф2'!CC26+'Ф3'!CF26</f>
        <v>0</v>
      </c>
      <c r="BF26" s="604">
        <f>SUM(BF6:BF24)</f>
        <v>0</v>
      </c>
      <c r="BG26" s="594" t="e">
        <f t="shared" si="2"/>
        <v>#DIV/0!</v>
      </c>
      <c r="BH26" s="580">
        <f>'Ф3'!CC26</f>
        <v>50</v>
      </c>
      <c r="BI26" s="581">
        <f>'Ф3'!CD26</f>
        <v>0</v>
      </c>
      <c r="BJ26" s="570">
        <f>BI26/BH26*100</f>
        <v>0</v>
      </c>
      <c r="BK26" s="569">
        <f>C26+F26+I26+L26+R26+U26+X26+AD26+AG26+AJ26+AM26+AP26+AS26+AV26+AY26+BE26+O26+BB26+BH26</f>
        <v>11123.65771</v>
      </c>
      <c r="BL26" s="522">
        <f>D26+G26+J26+M26+S26+V26+Y26+AE26+AH26+AK26+AN26+AQ26+AT26+AW26+AZ26+BF26+P26+BC26+BI26</f>
        <v>4243.454540000001</v>
      </c>
      <c r="BM26" s="605">
        <f t="shared" si="3"/>
        <v>38.14801435489335</v>
      </c>
      <c r="BN26" s="249"/>
      <c r="BO26" s="198"/>
    </row>
    <row r="27" spans="1:84" ht="27" thickBot="1">
      <c r="A27" s="606"/>
      <c r="B27" s="607" t="s">
        <v>165</v>
      </c>
      <c r="C27" s="608">
        <f>SUM(C25:C26)</f>
        <v>393.13181</v>
      </c>
      <c r="D27" s="609">
        <f>SUM(D25:D26)</f>
        <v>255.22674</v>
      </c>
      <c r="E27" s="600">
        <f>SUM(D27/C27*100)</f>
        <v>64.92141656000821</v>
      </c>
      <c r="F27" s="608">
        <f>SUM(F25:F26)</f>
        <v>6547.10707</v>
      </c>
      <c r="G27" s="610">
        <f>SUM(G25:G26)</f>
        <v>3398.45666</v>
      </c>
      <c r="H27" s="600">
        <f>SUM(G27/F27*100)</f>
        <v>51.90776053705197</v>
      </c>
      <c r="I27" s="608">
        <f>SUM(I25:I26)</f>
        <v>189.5</v>
      </c>
      <c r="J27" s="611">
        <f>SUM(J25:J26)</f>
        <v>127.9</v>
      </c>
      <c r="K27" s="570">
        <f>SUM(J27/I27*100)</f>
        <v>67.4934036939314</v>
      </c>
      <c r="L27" s="612">
        <f>SUM(L25:L26)</f>
        <v>846.5129999999999</v>
      </c>
      <c r="M27" s="613">
        <f>SUM(M25:M26)</f>
        <v>636.39489</v>
      </c>
      <c r="N27" s="600">
        <f>SUM(M27/L27*100)</f>
        <v>75.17839537018334</v>
      </c>
      <c r="O27" s="616">
        <f>SUM(O25:O26)</f>
        <v>1717.8732799999998</v>
      </c>
      <c r="P27" s="618">
        <f>SUM(P25:P26)</f>
        <v>773.1693200000001</v>
      </c>
      <c r="Q27" s="600">
        <f>SUM(P27/O27*100)</f>
        <v>45.00735467519468</v>
      </c>
      <c r="R27" s="616">
        <f>SUM(R25:R26)</f>
        <v>3106.5</v>
      </c>
      <c r="S27" s="614">
        <f>SUM(S25:S26)</f>
        <v>400</v>
      </c>
      <c r="T27" s="652">
        <f>S27/R27*100</f>
        <v>12.876227265411236</v>
      </c>
      <c r="U27" s="614">
        <f>SUM(U25:U26)</f>
        <v>1030.24315</v>
      </c>
      <c r="V27" s="613">
        <f>SUM(V25:V26)</f>
        <v>382.04578000000004</v>
      </c>
      <c r="W27" s="614">
        <f>V27/U27*100</f>
        <v>37.08306917643665</v>
      </c>
      <c r="X27" s="616">
        <f>SUM(X25:X26)</f>
        <v>297.5</v>
      </c>
      <c r="Y27" s="620">
        <f>SUM(Y25:Y26)</f>
        <v>85.02815</v>
      </c>
      <c r="Z27" s="705">
        <f>SUM(Y27/X27*100)</f>
        <v>28.58089075630252</v>
      </c>
      <c r="AA27" s="649">
        <f>AA26+AA25</f>
        <v>0</v>
      </c>
      <c r="AB27" s="787">
        <f>AB26+AB25</f>
        <v>24.1302</v>
      </c>
      <c r="AC27" s="789" t="e">
        <f>AB27/AA27*100</f>
        <v>#DIV/0!</v>
      </c>
      <c r="AD27" s="619">
        <f>SUM(AD25:AD26)</f>
        <v>0</v>
      </c>
      <c r="AE27" s="619">
        <f>SUM(AE25:AE26)</f>
        <v>9.495</v>
      </c>
      <c r="AF27" s="600"/>
      <c r="AG27" s="616">
        <f>SUM(AG25:AG26)</f>
        <v>20</v>
      </c>
      <c r="AH27" s="619">
        <f>SUM(AH25:AH26)</f>
        <v>30.8832</v>
      </c>
      <c r="AI27" s="600">
        <f>SUM(AH27/AG27*100)</f>
        <v>154.416</v>
      </c>
      <c r="AJ27" s="608">
        <f>SUM(AJ25:AJ26)</f>
        <v>1987.6743499999998</v>
      </c>
      <c r="AK27" s="621">
        <f>SUM(AK25:AK26)</f>
        <v>384.03516</v>
      </c>
      <c r="AL27" s="600">
        <f>SUM(AK27/AJ27*100)</f>
        <v>19.3208288872873</v>
      </c>
      <c r="AM27" s="616">
        <f>SUM(AM25:AM26)</f>
        <v>282.5</v>
      </c>
      <c r="AN27" s="619">
        <f>SUM(AN25:AN26)</f>
        <v>174.924</v>
      </c>
      <c r="AO27" s="600">
        <f>SUM(AN27/AM27*100)</f>
        <v>61.919999999999995</v>
      </c>
      <c r="AP27" s="608">
        <f>SUM(AP25:AP26)</f>
        <v>1566.5766800000001</v>
      </c>
      <c r="AQ27" s="621">
        <f>SUM(AQ25:AQ26)</f>
        <v>1241.9971899999998</v>
      </c>
      <c r="AR27" s="600">
        <f>SUM(AQ27/AP27*100)</f>
        <v>79.28097014695761</v>
      </c>
      <c r="AS27" s="616">
        <f>SUM(AS25:AS26)</f>
        <v>259.24483000000004</v>
      </c>
      <c r="AT27" s="619">
        <f>SUM(AT25:AT26)</f>
        <v>20.398839999999996</v>
      </c>
      <c r="AU27" s="623">
        <f>SUM(AT27/AS27*100)</f>
        <v>7.868561930434637</v>
      </c>
      <c r="AV27" s="616">
        <f>SUM(AV25:AV26)</f>
        <v>322</v>
      </c>
      <c r="AW27" s="619">
        <f>SUM(AW25:AW26)</f>
        <v>322</v>
      </c>
      <c r="AX27" s="600">
        <f>SUM(AW27/AV27*100)</f>
        <v>100</v>
      </c>
      <c r="AY27" s="616">
        <f>SUM(AY25:AY26)</f>
        <v>5382.74571</v>
      </c>
      <c r="AZ27" s="622">
        <f>SUM(AZ25:AZ26)</f>
        <v>400</v>
      </c>
      <c r="BA27" s="600">
        <f>SUM(AZ27/AY27*100)</f>
        <v>7.431151712347934</v>
      </c>
      <c r="BB27" s="616">
        <f>SUM(BB25:BB26)</f>
        <v>0</v>
      </c>
      <c r="BC27" s="617">
        <f>SUM(BC25:BC26)</f>
        <v>0</v>
      </c>
      <c r="BD27" s="615">
        <v>0</v>
      </c>
      <c r="BE27" s="649">
        <f>SUM(BE25:BE26)</f>
        <v>0</v>
      </c>
      <c r="BF27" s="624">
        <f>BF26</f>
        <v>0</v>
      </c>
      <c r="BG27" s="705" t="e">
        <f>SUM(BF27/BE27*100)</f>
        <v>#DIV/0!</v>
      </c>
      <c r="BH27" s="598">
        <f>BH25+BH26</f>
        <v>85</v>
      </c>
      <c r="BI27" s="706">
        <f>SUM(BI25:BI26)</f>
        <v>0</v>
      </c>
      <c r="BJ27" s="544">
        <f>BI27/BH27*100</f>
        <v>0</v>
      </c>
      <c r="BK27" s="711">
        <f>SUM(BK25:BK26)</f>
        <v>24034.10988</v>
      </c>
      <c r="BL27" s="625">
        <f>SUM(BL25:BL26)</f>
        <v>8666.08513</v>
      </c>
      <c r="BM27" s="600">
        <f t="shared" si="3"/>
        <v>36.05744158310389</v>
      </c>
      <c r="BN27" s="324"/>
      <c r="BO27" s="283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</row>
    <row r="28" spans="3:84" ht="20.25">
      <c r="C28" s="283"/>
      <c r="D28" s="283"/>
      <c r="E28" s="283"/>
      <c r="F28" s="283"/>
      <c r="G28" s="468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310"/>
      <c r="BL28" s="310"/>
      <c r="BM28" s="283"/>
      <c r="BN28" s="324"/>
      <c r="BO28" s="283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</row>
    <row r="29" spans="2:67" ht="20.25">
      <c r="B29" s="124"/>
      <c r="C29" s="71"/>
      <c r="D29" s="71"/>
      <c r="E29" s="71"/>
      <c r="F29" s="71"/>
      <c r="G29" s="71"/>
      <c r="H29" s="71"/>
      <c r="I29" s="71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397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</row>
    <row r="30" spans="3:67" ht="15"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200"/>
      <c r="BL30" s="198"/>
      <c r="BM30" s="198"/>
      <c r="BN30" s="198"/>
      <c r="BO30" s="198"/>
    </row>
    <row r="31" ht="12.75">
      <c r="BL31" s="198"/>
    </row>
  </sheetData>
  <mergeCells count="28">
    <mergeCell ref="C3:E3"/>
    <mergeCell ref="C4:E4"/>
    <mergeCell ref="F4:H4"/>
    <mergeCell ref="U4:W4"/>
    <mergeCell ref="O3:Q3"/>
    <mergeCell ref="O4:Q4"/>
    <mergeCell ref="R3:T3"/>
    <mergeCell ref="F3:H3"/>
    <mergeCell ref="I3:K3"/>
    <mergeCell ref="I4:K4"/>
    <mergeCell ref="L4:N4"/>
    <mergeCell ref="X4:Z4"/>
    <mergeCell ref="AV3:AX3"/>
    <mergeCell ref="AP4:AR4"/>
    <mergeCell ref="AG4:AI4"/>
    <mergeCell ref="AA3:AC3"/>
    <mergeCell ref="AA4:AC4"/>
    <mergeCell ref="AD3:AF3"/>
    <mergeCell ref="BK3:BM4"/>
    <mergeCell ref="AY3:BA3"/>
    <mergeCell ref="U3:W3"/>
    <mergeCell ref="X3:Z3"/>
    <mergeCell ref="AG3:AI3"/>
    <mergeCell ref="AJ3:AL3"/>
    <mergeCell ref="BH3:BJ3"/>
    <mergeCell ref="AV4:AX4"/>
    <mergeCell ref="BH4:BJ4"/>
    <mergeCell ref="AY4:BA4"/>
  </mergeCells>
  <printOptions/>
  <pageMargins left="0.75" right="0.75" top="1" bottom="1" header="0.5" footer="0.5"/>
  <pageSetup fitToWidth="0" horizontalDpi="600" verticalDpi="600" orientation="landscape" paperSize="9" scale="46" r:id="rId1"/>
  <colBreaks count="5" manualBreakCount="5">
    <brk id="17" max="26" man="1"/>
    <brk id="32" max="65535" man="1"/>
    <brk id="44" max="65535" man="1"/>
    <brk id="66" max="65535" man="1"/>
    <brk id="8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Customer</cp:lastModifiedBy>
  <cp:lastPrinted>2016-07-06T09:20:46Z</cp:lastPrinted>
  <dcterms:created xsi:type="dcterms:W3CDTF">1999-11-19T11:51:56Z</dcterms:created>
  <dcterms:modified xsi:type="dcterms:W3CDTF">2016-07-06T09:20:48Z</dcterms:modified>
  <cp:category/>
  <cp:version/>
  <cp:contentType/>
  <cp:contentStatus/>
</cp:coreProperties>
</file>